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23256" windowHeight="12456" tabRatio="832" activeTab="1"/>
  </bookViews>
  <sheets>
    <sheet name="BS" sheetId="1" r:id="rId1"/>
    <sheet name="PorL" sheetId="2" r:id="rId2"/>
    <sheet name="CashFlow" sheetId="12" r:id="rId3"/>
    <sheet name="SOCIE" sheetId="7" r:id="rId4"/>
    <sheet name="Ac policy" sheetId="3" r:id="rId5"/>
    <sheet name="bs Notes" sheetId="6" r:id="rId6"/>
    <sheet name="pl notes" sheetId="9" r:id="rId7"/>
    <sheet name="fa note" sheetId="8" r:id="rId8"/>
    <sheet name="Income Tax Fixed Asset" sheetId="24" r:id="rId9"/>
    <sheet name="ratios" sheetId="32" r:id="rId10"/>
    <sheet name="Addl Disclosure schd III" sheetId="26" r:id="rId11"/>
    <sheet name="Note21" sheetId="14" r:id="rId12"/>
    <sheet name="RBINotes" sheetId="10" r:id="rId13"/>
    <sheet name="RATIO" sheetId="25" state="hidden" r:id="rId14"/>
    <sheet name="provision " sheetId="31" r:id="rId15"/>
    <sheet name="trial" sheetId="18" r:id="rId16"/>
    <sheet name="query" sheetId="34" r:id="rId17"/>
    <sheet name="loan bifercation" sheetId="35" r:id="rId18"/>
    <sheet name="proviosion" sheetId="2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INDEX_SHEET___ASAP_Utilities" localSheetId="14">#REF!</definedName>
    <definedName name="___INDEX_SHEET___ASAP_Utilities" localSheetId="9">#REF!</definedName>
    <definedName name="___INDEX_SHEET___ASAP_Utilities">#REF!</definedName>
    <definedName name="_BZL0305" localSheetId="14">#REF!</definedName>
    <definedName name="_BZL0305" localSheetId="9">#REF!</definedName>
    <definedName name="_BZL0305">#REF!</definedName>
    <definedName name="_HZL5062" localSheetId="14">#REF!</definedName>
    <definedName name="_HZL5062" localSheetId="9">#REF!</definedName>
    <definedName name="_HZL5062">#REF!</definedName>
    <definedName name="_per1204">#REF!</definedName>
    <definedName name="_SCH4">[1]FINANCIALS!#REF!</definedName>
    <definedName name="aa" localSheetId="10">[2]FPNEWXLS!#REF!</definedName>
    <definedName name="AA">#REF!</definedName>
    <definedName name="ACID">#REF!</definedName>
    <definedName name="AD" hidden="1">#REF!</definedName>
    <definedName name="Address">#REF!</definedName>
    <definedName name="ADVANCEEMP">#REF!</definedName>
    <definedName name="ADVERTISEMENT">[2]FPNEWXLS!#REF!</definedName>
    <definedName name="ADVFROMCUSTOMER">#REF!</definedName>
    <definedName name="ASX" hidden="1">#REF!</definedName>
    <definedName name="BALANCECUSTOMS">#REF!</definedName>
    <definedName name="bb">#REF!</definedName>
    <definedName name="BOTTOM">#REF!</definedName>
    <definedName name="BSHEET">[1]FINANCIALS!#REF!</definedName>
    <definedName name="BuiltIn_Print_Area">#REF!</definedName>
    <definedName name="bzl">#REF!</definedName>
    <definedName name="CASH_BANK">#REF!</definedName>
    <definedName name="CCD">#REF!</definedName>
    <definedName name="cellhousen">#REF!</definedName>
    <definedName name="City">#REF!</definedName>
    <definedName name="ckjde">#REF!</definedName>
    <definedName name="Code" hidden="1">#REF!</definedName>
    <definedName name="comp1">#REF!</definedName>
    <definedName name="comp2">#REF!</definedName>
    <definedName name="Company">#REF!</definedName>
    <definedName name="CONCCIFLIAB">#REF!</definedName>
    <definedName name="CONCHARGESPMTS">#REF!</definedName>
    <definedName name="CONCONS2001">#REF!</definedName>
    <definedName name="CONCONSMN2001">#REF!</definedName>
    <definedName name="CONCPUR0001DUTY">#REF!</definedName>
    <definedName name="CONCPUR2001DUTY">#REF!</definedName>
    <definedName name="CONCPUR2001DUTYTWO">#REF!</definedName>
    <definedName name="CONCPURCIFVALUE">#REF!</definedName>
    <definedName name="CONSTORES">[2]FPNEWXLS!#REF!</definedName>
    <definedName name="Contents">#REF!</definedName>
    <definedName name="COSTZN">#REF!</definedName>
    <definedName name="Country">#REF!</definedName>
    <definedName name="CSHEET">[1]FINANCIALS!#REF!</definedName>
    <definedName name="cu">[3]Sensitivity!$C$9</definedName>
    <definedName name="data1" hidden="1">#REF!</definedName>
    <definedName name="data2" hidden="1">#REF!</definedName>
    <definedName name="data3" hidden="1">#REF!</definedName>
    <definedName name="_xlnm.Database" hidden="1">[1]FINANCIALS!#REF!</definedName>
    <definedName name="dd">#REF!</definedName>
    <definedName name="DEPOSIT">#REF!</definedName>
    <definedName name="DEPRECIATION">#REF!</definedName>
    <definedName name="DISCOUNT" localSheetId="10">[2]FPNEWXLS!#REF!</definedName>
    <definedName name="Discount" hidden="1">#REF!</definedName>
    <definedName name="display_area_2" hidden="1">#REF!</definedName>
    <definedName name="DIVIDEND">#REF!</definedName>
    <definedName name="ELEC2071">[4]ELEC2071!#REF!</definedName>
    <definedName name="ELEC2073">[4]ELEC2071!#REF!</definedName>
    <definedName name="ELEINOTPAID">[5]ELEC2071!#REF!</definedName>
    <definedName name="ELEINT03">[4]ELEC2071!#REF!</definedName>
    <definedName name="ELEINT3168">[4]ELEC2071!#REF!</definedName>
    <definedName name="Email">#REF!</definedName>
    <definedName name="EMPWELFARE">[2]FPNEWXLS!#REF!</definedName>
    <definedName name="END">#REF!</definedName>
    <definedName name="ESI">[2]FPNEWXLS!#REF!</definedName>
    <definedName name="EXCHANGEDIFF">#REF!</definedName>
    <definedName name="EXCISEDUTY">[2]FPNEWXLS!#REF!</definedName>
    <definedName name="EXRATEDIFF2002">#REF!</definedName>
    <definedName name="EXRATEDIFF2002N">#REF!</definedName>
    <definedName name="f32.">#REF!</definedName>
    <definedName name="Fax">#REF!</definedName>
    <definedName name="FCode" hidden="1">#REF!</definedName>
    <definedName name="five">#REF!</definedName>
    <definedName name="FIXEDASSETS">[2]FPNEWXLS!#REF!</definedName>
    <definedName name="FLAC_FIVE">[1]FINANCIALS!#REF!</definedName>
    <definedName name="flac_valperton">[1]FINANCIALS!#REF!</definedName>
    <definedName name="FOREIGNCURR">#REF!</definedName>
    <definedName name="FOREIGNTRAVEL">[4]SUBSCRIPTION!#REF!</definedName>
    <definedName name="four">#REF!</definedName>
    <definedName name="FREIGHT">[2]FPNEWXLS!#REF!</definedName>
    <definedName name="goodsintransit">#REF!</definedName>
    <definedName name="HiddenRows" hidden="1">#REF!</definedName>
    <definedName name="INCOMEFROMUNITS">[2]FPNEWXLS!#REF!</definedName>
    <definedName name="INSURANCE">[2]FPNEWXLS!#REF!</definedName>
    <definedName name="int">[3]Sensitivity!$C$12</definedName>
    <definedName name="INTERESTONLOANS">[2]FPNEWXLS!#REF!</definedName>
    <definedName name="It" hidden="1">#REF!</definedName>
    <definedName name="itFDS">#REF!</definedName>
    <definedName name="june">#REF!</definedName>
    <definedName name="junecom">#REF!</definedName>
    <definedName name="kk">#REF!</definedName>
    <definedName name="kseb50">[5]ELEC2071!#REF!</definedName>
    <definedName name="last_page">[1]FINANCIALS!#REF!</definedName>
    <definedName name="LEACHING">#REF!</definedName>
    <definedName name="LIABILITIES">[2]FPNEWXLS!#REF!</definedName>
    <definedName name="LOANSADV">[2]FPNEWXLS!#REF!</definedName>
    <definedName name="LSHEET">[1]FINANCIALS!#REF!</definedName>
    <definedName name="mac_cflow">#REF!</definedName>
    <definedName name="mac_commisn">#REF!</definedName>
    <definedName name="mac_control">#REF!</definedName>
    <definedName name="mac_controlalone">#REF!</definedName>
    <definedName name="mac_cost">#REF!</definedName>
    <definedName name="mac_link">#REF!</definedName>
    <definedName name="mac_pl">#REF!</definedName>
    <definedName name="mac_print_four">#REF!</definedName>
    <definedName name="mac_print_one">#REF!</definedName>
    <definedName name="mac_print_ones">#REF!</definedName>
    <definedName name="mac_print_three">#REF!</definedName>
    <definedName name="mac_print_two">#REF!</definedName>
    <definedName name="mac_stkinhand">#REF!</definedName>
    <definedName name="mac_vs">[6]aprmac!#REF!</definedName>
    <definedName name="mac_zinconcen">#REF!</definedName>
    <definedName name="mac_zincval">#REF!</definedName>
    <definedName name="MELTING">#REF!</definedName>
    <definedName name="MISCEXP">[2]FPNEWXLS!#REF!</definedName>
    <definedName name="MISCRECPTS">[2]FPNEWXLS!#REF!</definedName>
    <definedName name="MONTH">#REF!</definedName>
    <definedName name="Name">#REF!</definedName>
    <definedName name="NMB">#N/A</definedName>
    <definedName name="nn" hidden="1">#REF!</definedName>
    <definedName name="NOTES">#REF!</definedName>
    <definedName name="okay" hidden="1">#REF!</definedName>
    <definedName name="one">#REF!</definedName>
    <definedName name="OrderTable" hidden="1">#REF!</definedName>
    <definedName name="OTHERADV">#REF!</definedName>
    <definedName name="OTHERINCOME">[2]FPNEWXLS!#REF!</definedName>
    <definedName name="OTHERLIAB">[2]FPNEWXLS!#REF!</definedName>
    <definedName name="PAISE2">[5]ELEC2071!#REF!</definedName>
    <definedName name="PAISE50">[5]ELEC2071!#REF!</definedName>
    <definedName name="PER">#REF!</definedName>
    <definedName name="Phone">#REF!</definedName>
    <definedName name="POWERFUEL">[2]FPNEWXLS!#REF!</definedName>
    <definedName name="POWERPLANT">#REF!</definedName>
    <definedName name="pp">#REF!</definedName>
    <definedName name="_xlnm.Print_Area" localSheetId="0">BS!$A$1:$E$59</definedName>
    <definedName name="_xlnm.Print_Area" localSheetId="5">'bs Notes'!$A$1:$N$270</definedName>
    <definedName name="_xlnm.Print_Area" localSheetId="2">CashFlow!$A$1:$K$65</definedName>
    <definedName name="_xlnm.Print_Area" localSheetId="7">'fa note'!$A$1:$I$24</definedName>
    <definedName name="_xlnm.Print_Area" localSheetId="11">Note21!$A$1:$J$33</definedName>
    <definedName name="_xlnm.Print_Area" localSheetId="6">'pl notes'!$A$1:$M$94</definedName>
    <definedName name="_xlnm.Print_Area" localSheetId="1">PorL!$A$1:$E$70</definedName>
    <definedName name="_xlnm.Print_Area" localSheetId="12">RBINotes!$A$1:$I$161</definedName>
    <definedName name="_xlnm.Print_Area" localSheetId="3">SOCIE!$A$1:$L$37</definedName>
    <definedName name="Print_Area_MI">[1]FINANCIALS!#REF!</definedName>
    <definedName name="_xlnm.Print_Titles" localSheetId="4">'Ac policy'!$1:$3</definedName>
    <definedName name="_xlnm.Print_Titles" localSheetId="5">'bs Notes'!$1:$3</definedName>
    <definedName name="_xlnm.Print_Titles" localSheetId="6">'pl notes'!$1:$3</definedName>
    <definedName name="ProdForm" hidden="1">#REF!</definedName>
    <definedName name="Product" hidden="1">#REF!</definedName>
    <definedName name="PROJECTED_PROFITABILITY_STATEMENT_2001_02">"june"</definedName>
    <definedName name="PROVIDENTFUND">[2]FPNEWXLS!#REF!</definedName>
    <definedName name="q" hidden="1">#REF!</definedName>
    <definedName name="RAWMATERIALS">[2]FPNEWXLS!#REF!</definedName>
    <definedName name="RCArea" hidden="1">#REF!</definedName>
    <definedName name="REPAIRS">[2]FPNEWXLS!#REF!</definedName>
    <definedName name="rm">[3]Sensitivity!$C$8</definedName>
    <definedName name="ROASTER">#REF!</definedName>
    <definedName name="s" hidden="1">#REF!</definedName>
    <definedName name="SALARY">[2]FPNEWXLS!#REF!</definedName>
    <definedName name="sales">[3]Sensitivity!$C$7</definedName>
    <definedName name="sch_5">[1]FINANCIALS!#REF!</definedName>
    <definedName name="SCHEDULE11">#REF!</definedName>
    <definedName name="SCHEDULE5">#REF!</definedName>
    <definedName name="SCRAP">#REF!</definedName>
    <definedName name="SMELTER">#REF!</definedName>
    <definedName name="SpecialPrice" hidden="1">#REF!</definedName>
    <definedName name="SSHEET">[1]FINANCIALS!#REF!</definedName>
    <definedName name="State">#REF!</definedName>
    <definedName name="STATEMENT23">#REF!</definedName>
    <definedName name="statement9">#REF!</definedName>
    <definedName name="storesandspares">#REF!</definedName>
    <definedName name="STORESINVENTORY">#REF!</definedName>
    <definedName name="su" hidden="1">#REF!</definedName>
    <definedName name="SUNDRYCRS">[2]FPNEWXLS!#REF!</definedName>
    <definedName name="TAXATION">#REF!</definedName>
    <definedName name="tbl_ProdInfo" hidden="1">#REF!</definedName>
    <definedName name="three">#REF!</definedName>
    <definedName name="TRAVELEXP">[2]FPNEWXLS!#REF!</definedName>
    <definedName name="tufs">[3]Sensitivity!$C$11</definedName>
    <definedName name="two">#REF!</definedName>
    <definedName name="W" hidden="1">#REF!</definedName>
    <definedName name="wm">[3]Sensitivity!$C$13</definedName>
    <definedName name="workfiven">'[7]Highlight-3'!#REF!</definedName>
    <definedName name="workfourn">#REF!</definedName>
    <definedName name="WORKINGS">#REF!</definedName>
    <definedName name="workonen">#REF!</definedName>
    <definedName name="workthreen">#REF!</definedName>
    <definedName name="worktwon">#REF!</definedName>
    <definedName name="Zip">#REF!</definedName>
    <definedName name="ZVAL">[1]FINANCIALS!#REF!</definedName>
  </definedNames>
  <calcPr calcId="162913"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2" l="1"/>
  <c r="H41" i="12"/>
  <c r="H40" i="12"/>
  <c r="H42" i="12" l="1"/>
  <c r="L14" i="6"/>
  <c r="L7" i="6"/>
  <c r="L13" i="6"/>
  <c r="G88" i="10" l="1"/>
  <c r="E38" i="1"/>
  <c r="E37" i="1"/>
  <c r="E34" i="1"/>
  <c r="E32" i="1"/>
  <c r="E27" i="1"/>
  <c r="E25" i="1"/>
  <c r="L258" i="6"/>
  <c r="L169" i="6"/>
  <c r="L171" i="6" s="1"/>
  <c r="D27" i="1" s="1"/>
  <c r="M171" i="6"/>
  <c r="L168" i="6"/>
  <c r="L141" i="6"/>
  <c r="L140" i="6"/>
  <c r="M164" i="6"/>
  <c r="L164" i="6"/>
  <c r="M155" i="6"/>
  <c r="L155" i="6"/>
  <c r="M143" i="6"/>
  <c r="E26" i="1" s="1"/>
  <c r="L129" i="6"/>
  <c r="L131" i="6" s="1"/>
  <c r="L134" i="6" s="1"/>
  <c r="D25" i="1" s="1"/>
  <c r="M127" i="6"/>
  <c r="M129" i="6" s="1"/>
  <c r="M131" i="6" s="1"/>
  <c r="M134" i="6" s="1"/>
  <c r="L127" i="6"/>
  <c r="G19" i="7"/>
  <c r="E16" i="1"/>
  <c r="E14" i="1"/>
  <c r="E10" i="1"/>
  <c r="E9" i="1"/>
  <c r="E8" i="1"/>
  <c r="L12" i="6"/>
  <c r="D9" i="1" s="1"/>
  <c r="H34" i="12" s="1"/>
  <c r="L38" i="6"/>
  <c r="L40" i="6"/>
  <c r="D26" i="2"/>
  <c r="J19" i="7"/>
  <c r="L119" i="6"/>
  <c r="L58" i="9"/>
  <c r="L61" i="9"/>
  <c r="L77" i="9"/>
  <c r="L73" i="9"/>
  <c r="E39" i="34"/>
  <c r="E31" i="34"/>
  <c r="E27" i="34"/>
  <c r="E28" i="34" s="1"/>
  <c r="E36" i="34"/>
  <c r="H21" i="12" l="1"/>
  <c r="G27" i="14"/>
  <c r="L143" i="6"/>
  <c r="D26" i="1" s="1"/>
  <c r="E40" i="34"/>
  <c r="E32" i="34"/>
  <c r="L194" i="6"/>
  <c r="L193" i="6"/>
  <c r="L186" i="6"/>
  <c r="L192" i="6"/>
  <c r="L39" i="6"/>
  <c r="L37" i="6"/>
  <c r="D7" i="35"/>
  <c r="E7" i="35"/>
  <c r="E9" i="35"/>
  <c r="E3" i="35"/>
  <c r="E6" i="35"/>
  <c r="E10" i="35"/>
  <c r="E11" i="35"/>
  <c r="E4" i="35"/>
  <c r="E12" i="35"/>
  <c r="E13" i="35"/>
  <c r="E14" i="35"/>
  <c r="E5" i="35"/>
  <c r="E15" i="35"/>
  <c r="E16" i="35"/>
  <c r="E8" i="35"/>
  <c r="D15" i="35"/>
  <c r="D16" i="35"/>
  <c r="D9" i="35"/>
  <c r="D3" i="35"/>
  <c r="D6" i="35"/>
  <c r="D10" i="35"/>
  <c r="D11" i="35"/>
  <c r="D4" i="35"/>
  <c r="D12" i="35"/>
  <c r="D13" i="35"/>
  <c r="D14" i="35"/>
  <c r="D5" i="35"/>
  <c r="D8" i="35"/>
  <c r="J20" i="7"/>
  <c r="L20" i="7" s="1"/>
  <c r="L259" i="6"/>
  <c r="L240" i="6"/>
  <c r="J222" i="6"/>
  <c r="J226" i="6"/>
  <c r="J225" i="6"/>
  <c r="J223" i="6"/>
  <c r="J221" i="6"/>
  <c r="L83" i="9"/>
  <c r="L62" i="9"/>
  <c r="D14" i="34"/>
  <c r="E13" i="34"/>
  <c r="D13" i="34"/>
  <c r="E12" i="34"/>
  <c r="D12" i="34"/>
  <c r="E11" i="34"/>
  <c r="E9" i="34"/>
  <c r="D9" i="34"/>
  <c r="L190" i="6"/>
  <c r="G9" i="31"/>
  <c r="H14" i="10" s="1"/>
  <c r="F14" i="10" s="1"/>
  <c r="C27" i="14" l="1"/>
  <c r="C28" i="14"/>
  <c r="E17" i="35"/>
  <c r="L19" i="7"/>
  <c r="E14" i="24" l="1"/>
  <c r="E18" i="24"/>
  <c r="E19" i="24"/>
  <c r="E20" i="24"/>
  <c r="E21" i="24"/>
  <c r="J100" i="6"/>
  <c r="E33" i="1" s="1"/>
  <c r="E40" i="1" s="1"/>
  <c r="M110" i="6"/>
  <c r="L110" i="6"/>
  <c r="J110" i="6"/>
  <c r="N110" i="6" l="1"/>
  <c r="K110" i="6"/>
  <c r="D16" i="24" l="1"/>
  <c r="E16" i="24" s="1"/>
  <c r="C13" i="8"/>
  <c r="D17" i="24"/>
  <c r="E17" i="24" s="1"/>
  <c r="C15" i="8"/>
  <c r="L209" i="6"/>
  <c r="L257" i="6"/>
  <c r="L252" i="6"/>
  <c r="L254" i="6" s="1"/>
  <c r="L233" i="6" s="1"/>
  <c r="L244" i="6"/>
  <c r="L239" i="6"/>
  <c r="L241" i="6" s="1"/>
  <c r="G16" i="24"/>
  <c r="D22" i="24"/>
  <c r="D15" i="24"/>
  <c r="D13" i="24"/>
  <c r="H8" i="24" l="1"/>
  <c r="I8" i="24" s="1"/>
  <c r="M85" i="6"/>
  <c r="L187" i="6"/>
  <c r="L118" i="6" l="1"/>
  <c r="B118" i="6"/>
  <c r="L191" i="6"/>
  <c r="L117" i="6"/>
  <c r="L210" i="6" l="1"/>
  <c r="K209" i="6"/>
  <c r="K210" i="6" s="1"/>
  <c r="J224" i="6" s="1"/>
  <c r="J203" i="6"/>
  <c r="B133" i="18" l="1"/>
  <c r="L87" i="6" s="1"/>
  <c r="B201" i="18" l="1"/>
  <c r="E14" i="34" s="1"/>
  <c r="C19" i="18" l="1"/>
  <c r="L8" i="9" s="1"/>
  <c r="B72" i="18"/>
  <c r="B57" i="18"/>
  <c r="B58" i="18"/>
  <c r="L74" i="9" s="1"/>
  <c r="C94" i="18"/>
  <c r="L203" i="6" s="1"/>
  <c r="L176" i="6" l="1"/>
  <c r="H43" i="12" l="1"/>
  <c r="D29" i="1"/>
  <c r="L89" i="6"/>
  <c r="L189" i="6"/>
  <c r="L188" i="6"/>
  <c r="L81" i="6"/>
  <c r="L80" i="6"/>
  <c r="L120" i="6"/>
  <c r="L266" i="6"/>
  <c r="L256" i="6"/>
  <c r="L251" i="6"/>
  <c r="L243" i="6"/>
  <c r="L238" i="6"/>
  <c r="L230" i="6"/>
  <c r="I219" i="6"/>
  <c r="L199" i="6"/>
  <c r="L174" i="6"/>
  <c r="L180" i="6"/>
  <c r="L114" i="6"/>
  <c r="L85" i="6"/>
  <c r="L76" i="6"/>
  <c r="I46" i="6"/>
  <c r="L17" i="6"/>
  <c r="L36" i="9"/>
  <c r="L31" i="9"/>
  <c r="L30" i="9" l="1"/>
  <c r="L29" i="9"/>
  <c r="L53" i="9"/>
  <c r="L52" i="9"/>
  <c r="G17" i="24"/>
  <c r="H17" i="24" l="1"/>
  <c r="I17" i="24" s="1"/>
  <c r="D15" i="8"/>
  <c r="F15" i="8" s="1"/>
  <c r="G15" i="8" l="1"/>
  <c r="H15" i="8" s="1"/>
  <c r="L88" i="6" l="1"/>
  <c r="K24" i="12" l="1"/>
  <c r="B19" i="12"/>
  <c r="K15" i="12" l="1"/>
  <c r="K16" i="12" s="1"/>
  <c r="L78" i="6" l="1"/>
  <c r="L79" i="6"/>
  <c r="L28" i="9"/>
  <c r="L32" i="9" s="1"/>
  <c r="L37" i="9"/>
  <c r="L38" i="9"/>
  <c r="C22" i="24"/>
  <c r="C15" i="24"/>
  <c r="E15" i="24" s="1"/>
  <c r="G15" i="24" s="1"/>
  <c r="C13" i="24"/>
  <c r="G13" i="24" s="1"/>
  <c r="E22" i="24" l="1"/>
  <c r="G22" i="24"/>
  <c r="E13" i="24"/>
  <c r="L82" i="6"/>
  <c r="D11" i="1" s="1"/>
  <c r="L6" i="6"/>
  <c r="G60" i="10" l="1"/>
  <c r="D101" i="10" s="1"/>
  <c r="G114" i="10" s="1"/>
  <c r="H137" i="10" s="1"/>
  <c r="C23" i="24"/>
  <c r="D23" i="24"/>
  <c r="F23" i="24"/>
  <c r="J23" i="24"/>
  <c r="B23" i="24"/>
  <c r="L12" i="9"/>
  <c r="L27" i="9" s="1"/>
  <c r="L35" i="9" s="1"/>
  <c r="L42" i="9" s="1"/>
  <c r="L47" i="9" s="1"/>
  <c r="L57" i="9" s="1"/>
  <c r="E18" i="8"/>
  <c r="C18" i="8"/>
  <c r="H35" i="12" s="1"/>
  <c r="B18" i="8"/>
  <c r="L79" i="9"/>
  <c r="L86" i="6"/>
  <c r="L69" i="9"/>
  <c r="L72" i="9"/>
  <c r="B197" i="18"/>
  <c r="L116" i="6" s="1"/>
  <c r="G5" i="31"/>
  <c r="L68" i="9" l="1"/>
  <c r="L93" i="9" l="1"/>
  <c r="L89" i="9"/>
  <c r="E22" i="32" l="1"/>
  <c r="L181" i="6" l="1"/>
  <c r="D28" i="1" l="1"/>
  <c r="D14" i="8" l="1"/>
  <c r="F14" i="8" s="1"/>
  <c r="G5" i="28" l="1"/>
  <c r="I48" i="12"/>
  <c r="K21" i="7"/>
  <c r="L18" i="7"/>
  <c r="K17" i="7"/>
  <c r="L21" i="7" l="1"/>
  <c r="H15" i="24"/>
  <c r="I15" i="24" s="1"/>
  <c r="G14" i="8"/>
  <c r="H14" i="8" s="1"/>
  <c r="L115" i="6" l="1"/>
  <c r="L121" i="6" s="1"/>
  <c r="L67" i="9"/>
  <c r="L92" i="9"/>
  <c r="L91" i="9"/>
  <c r="L90" i="9"/>
  <c r="L51" i="9"/>
  <c r="L87" i="9"/>
  <c r="L85" i="9"/>
  <c r="L84" i="9"/>
  <c r="L82" i="9"/>
  <c r="L81" i="9"/>
  <c r="L80" i="9"/>
  <c r="L78" i="9"/>
  <c r="L76" i="9"/>
  <c r="L75" i="9"/>
  <c r="L86" i="9"/>
  <c r="L66" i="9"/>
  <c r="L70" i="9"/>
  <c r="L65" i="9"/>
  <c r="L64" i="9"/>
  <c r="L88" i="9"/>
  <c r="L48" i="9"/>
  <c r="L71" i="9"/>
  <c r="L50" i="9"/>
  <c r="L49" i="9"/>
  <c r="L54" i="9" l="1"/>
  <c r="D16" i="1"/>
  <c r="L90" i="6"/>
  <c r="D14" i="1" s="1"/>
  <c r="H14" i="12" l="1"/>
  <c r="H30" i="26"/>
  <c r="H18" i="26"/>
  <c r="E25" i="25" l="1"/>
  <c r="E22" i="25"/>
  <c r="I140" i="10" l="1"/>
  <c r="L267" i="6"/>
  <c r="H21" i="24"/>
  <c r="H20" i="24"/>
  <c r="H19" i="24"/>
  <c r="H18" i="24"/>
  <c r="H12" i="24"/>
  <c r="E12" i="24"/>
  <c r="D17" i="8"/>
  <c r="F17" i="8" s="1"/>
  <c r="L32" i="6"/>
  <c r="H17" i="26"/>
  <c r="L184" i="6"/>
  <c r="L183" i="6"/>
  <c r="L185" i="6"/>
  <c r="D13" i="8"/>
  <c r="F13" i="8" s="1"/>
  <c r="L182" i="6"/>
  <c r="L195" i="6" s="1"/>
  <c r="L8" i="6"/>
  <c r="K14" i="7"/>
  <c r="K16" i="7" s="1"/>
  <c r="H14" i="7"/>
  <c r="H16" i="7" s="1"/>
  <c r="K70" i="6"/>
  <c r="K72" i="6" s="1"/>
  <c r="K73" i="6" s="1"/>
  <c r="L66" i="6"/>
  <c r="K66" i="6"/>
  <c r="H19" i="14"/>
  <c r="M24" i="9"/>
  <c r="L20" i="9"/>
  <c r="L22" i="9" s="1"/>
  <c r="I14" i="7"/>
  <c r="I16" i="7" s="1"/>
  <c r="I23" i="7" s="1"/>
  <c r="L9" i="9"/>
  <c r="D9" i="2"/>
  <c r="N95" i="6"/>
  <c r="N96" i="6"/>
  <c r="D36" i="2"/>
  <c r="D37" i="2" s="1"/>
  <c r="H13" i="12" s="1"/>
  <c r="H75" i="10"/>
  <c r="G75" i="10"/>
  <c r="F31" i="10"/>
  <c r="E31" i="10"/>
  <c r="I14" i="10"/>
  <c r="G14" i="10"/>
  <c r="G31" i="10" s="1"/>
  <c r="L8" i="7"/>
  <c r="L6" i="7"/>
  <c r="H140" i="10"/>
  <c r="L100" i="6"/>
  <c r="L201" i="6"/>
  <c r="M201" i="6" s="1"/>
  <c r="I96" i="10"/>
  <c r="I95" i="10"/>
  <c r="I94" i="10"/>
  <c r="I93" i="10"/>
  <c r="I87" i="10"/>
  <c r="I86" i="10"/>
  <c r="I85" i="10"/>
  <c r="I84" i="10"/>
  <c r="L26" i="6"/>
  <c r="L204" i="6"/>
  <c r="D37" i="1" s="1"/>
  <c r="I66" i="6"/>
  <c r="J66" i="6"/>
  <c r="D18" i="14"/>
  <c r="M82" i="6"/>
  <c r="E11" i="1" s="1"/>
  <c r="E18" i="1" s="1"/>
  <c r="H49" i="10"/>
  <c r="I70" i="6"/>
  <c r="I72" i="6" s="1"/>
  <c r="I73" i="6" s="1"/>
  <c r="M44" i="9"/>
  <c r="L44" i="9"/>
  <c r="I26" i="12"/>
  <c r="M100" i="6"/>
  <c r="N99" i="6"/>
  <c r="H22" i="12" l="1"/>
  <c r="E6" i="32"/>
  <c r="E25" i="32"/>
  <c r="E24" i="25"/>
  <c r="E18" i="25"/>
  <c r="E10" i="25"/>
  <c r="E23" i="25"/>
  <c r="D8" i="1"/>
  <c r="D7" i="2"/>
  <c r="I21" i="24"/>
  <c r="E6" i="25"/>
  <c r="H31" i="10"/>
  <c r="D19" i="14"/>
  <c r="D12" i="8"/>
  <c r="F12" i="8" s="1"/>
  <c r="L39" i="9"/>
  <c r="D13" i="2" s="1"/>
  <c r="I18" i="24"/>
  <c r="I19" i="24"/>
  <c r="I20" i="24"/>
  <c r="I12" i="24"/>
  <c r="G17" i="14"/>
  <c r="H17" i="14" s="1"/>
  <c r="L67" i="6"/>
  <c r="C17" i="14"/>
  <c r="D17" i="14" s="1"/>
  <c r="F22" i="14"/>
  <c r="L42" i="6"/>
  <c r="F6" i="28" s="1"/>
  <c r="G8" i="28" s="1"/>
  <c r="G10" i="28" s="1"/>
  <c r="F108" i="10"/>
  <c r="H18" i="14"/>
  <c r="D41" i="2"/>
  <c r="D108" i="10"/>
  <c r="E108" i="10"/>
  <c r="J67" i="6"/>
  <c r="J22" i="14"/>
  <c r="L269" i="6"/>
  <c r="K23" i="7" s="1"/>
  <c r="D18" i="8" l="1"/>
  <c r="D17" i="2"/>
  <c r="H97" i="10"/>
  <c r="I97" i="10" s="1"/>
  <c r="J14" i="7"/>
  <c r="J16" i="7" s="1"/>
  <c r="D34" i="1"/>
  <c r="G14" i="7"/>
  <c r="G13" i="8"/>
  <c r="D10" i="2"/>
  <c r="D11" i="2" s="1"/>
  <c r="D14" i="2" s="1"/>
  <c r="I36" i="12"/>
  <c r="I37" i="12" s="1"/>
  <c r="E23" i="24"/>
  <c r="J70" i="6"/>
  <c r="J72" i="6" s="1"/>
  <c r="L43" i="6"/>
  <c r="G107" i="10"/>
  <c r="G108" i="10" s="1"/>
  <c r="L70" i="6"/>
  <c r="L72" i="6" s="1"/>
  <c r="H53" i="10"/>
  <c r="L270" i="6"/>
  <c r="L235" i="6" s="1"/>
  <c r="H20" i="12" l="1"/>
  <c r="D10" i="1"/>
  <c r="F6" i="31"/>
  <c r="K7" i="31" s="1"/>
  <c r="E10" i="32"/>
  <c r="E23" i="32"/>
  <c r="E18" i="32"/>
  <c r="E24" i="32"/>
  <c r="G16" i="7"/>
  <c r="G23" i="7" s="1"/>
  <c r="L14" i="7"/>
  <c r="L16" i="7" s="1"/>
  <c r="H13" i="8"/>
  <c r="H28" i="26"/>
  <c r="G8" i="31" l="1"/>
  <c r="H24" i="12"/>
  <c r="E11" i="10"/>
  <c r="E29" i="10" s="1"/>
  <c r="E32" i="10" s="1"/>
  <c r="H88" i="10"/>
  <c r="I88" i="10" s="1"/>
  <c r="C13" i="14"/>
  <c r="G10" i="31" l="1"/>
  <c r="G11" i="31" s="1"/>
  <c r="B54" i="18" s="1"/>
  <c r="H9" i="10"/>
  <c r="F9" i="10" s="1"/>
  <c r="F11" i="10" s="1"/>
  <c r="F29" i="10" s="1"/>
  <c r="F32" i="10" s="1"/>
  <c r="L175" i="6"/>
  <c r="L177" i="6" s="1"/>
  <c r="D32" i="1" s="1"/>
  <c r="C166" i="18" l="1"/>
  <c r="C215" i="18" s="1"/>
  <c r="G9" i="10"/>
  <c r="G11" i="10" s="1"/>
  <c r="G29" i="10" s="1"/>
  <c r="G32" i="10" s="1"/>
  <c r="H11" i="10"/>
  <c r="H29" i="10" s="1"/>
  <c r="H32" i="10" s="1"/>
  <c r="I9" i="10"/>
  <c r="I11" i="10" s="1"/>
  <c r="I29" i="10" s="1"/>
  <c r="I32" i="10" s="1"/>
  <c r="H18" i="12"/>
  <c r="D25" i="32"/>
  <c r="F25" i="32" s="1"/>
  <c r="B215" i="18"/>
  <c r="L63" i="9"/>
  <c r="L94" i="9" s="1"/>
  <c r="D18" i="25"/>
  <c r="F18" i="25" s="1"/>
  <c r="D10" i="25"/>
  <c r="F10" i="25" s="1"/>
  <c r="D18" i="2" l="1"/>
  <c r="B217" i="18"/>
  <c r="G17" i="8" l="1"/>
  <c r="H17" i="8" s="1"/>
  <c r="G12" i="8"/>
  <c r="I18" i="8"/>
  <c r="G18" i="8" l="1"/>
  <c r="H12" i="8"/>
  <c r="F18" i="8"/>
  <c r="H11" i="12" l="1"/>
  <c r="D19" i="2"/>
  <c r="H18" i="8"/>
  <c r="D15" i="1" s="1"/>
  <c r="D18" i="1" s="1"/>
  <c r="D27" i="32" s="1"/>
  <c r="D20" i="2" l="1"/>
  <c r="D22" i="2" s="1"/>
  <c r="D22" i="25" s="1"/>
  <c r="F22" i="25" s="1"/>
  <c r="D6" i="25"/>
  <c r="F6" i="25" s="1"/>
  <c r="C12" i="14"/>
  <c r="D24" i="2" l="1"/>
  <c r="I7" i="12" l="1"/>
  <c r="D24" i="25"/>
  <c r="F24" i="25" s="1"/>
  <c r="D22" i="32"/>
  <c r="F22" i="32" s="1"/>
  <c r="F14" i="31"/>
  <c r="F16" i="31" s="1"/>
  <c r="H22" i="24" l="1"/>
  <c r="I22" i="24" s="1"/>
  <c r="H16" i="24"/>
  <c r="I16" i="24" s="1"/>
  <c r="H13" i="24" l="1"/>
  <c r="H23" i="24" s="1"/>
  <c r="G23" i="24"/>
  <c r="K97" i="6" s="1"/>
  <c r="K100" i="6" l="1"/>
  <c r="N97" i="6"/>
  <c r="N100" i="6" s="1"/>
  <c r="D33" i="1" s="1"/>
  <c r="D6" i="32" s="1"/>
  <c r="I13" i="24"/>
  <c r="I23" i="24" s="1"/>
  <c r="H19" i="12" l="1"/>
  <c r="I24" i="12" s="1"/>
  <c r="H9" i="12"/>
  <c r="I15" i="12" s="1"/>
  <c r="I16" i="12" s="1"/>
  <c r="D27" i="2"/>
  <c r="D28" i="2" s="1"/>
  <c r="D32" i="2" s="1"/>
  <c r="F6" i="32"/>
  <c r="I25" i="12" l="1"/>
  <c r="I27" i="12" s="1"/>
  <c r="I29" i="12" s="1"/>
  <c r="I47" i="12" s="1"/>
  <c r="L260" i="6"/>
  <c r="D45" i="2"/>
  <c r="D51" i="2" s="1"/>
  <c r="D44" i="2"/>
  <c r="D50" i="2" s="1"/>
  <c r="D42" i="2"/>
  <c r="L245" i="6" l="1"/>
  <c r="L261" i="6"/>
  <c r="J22" i="7" s="1"/>
  <c r="I49" i="12"/>
  <c r="D23" i="25"/>
  <c r="F23" i="25" s="1"/>
  <c r="D25" i="25"/>
  <c r="F25" i="25" s="1"/>
  <c r="J17" i="7"/>
  <c r="L246" i="6" l="1"/>
  <c r="L232" i="6" s="1"/>
  <c r="H22" i="7"/>
  <c r="L264" i="6"/>
  <c r="L234" i="6" s="1"/>
  <c r="J23" i="7"/>
  <c r="L17" i="7"/>
  <c r="L236" i="6" l="1"/>
  <c r="D38" i="1" s="1"/>
  <c r="D40" i="1" s="1"/>
  <c r="F40" i="1" s="1"/>
  <c r="H23" i="7"/>
  <c r="L23" i="7" s="1"/>
  <c r="L22" i="7"/>
  <c r="D18" i="32" l="1"/>
  <c r="F18" i="32" s="1"/>
  <c r="D10" i="32"/>
  <c r="F10" i="32" s="1"/>
  <c r="D24" i="32"/>
  <c r="F24" i="32" s="1"/>
  <c r="D23" i="32"/>
  <c r="F23" i="32" s="1"/>
</calcChain>
</file>

<file path=xl/sharedStrings.xml><?xml version="1.0" encoding="utf-8"?>
<sst xmlns="http://schemas.openxmlformats.org/spreadsheetml/2006/main" count="1600" uniqueCount="1073">
  <si>
    <t>Particulars</t>
  </si>
  <si>
    <t>Note No.</t>
  </si>
  <si>
    <t>ASSETS</t>
  </si>
  <si>
    <t>Financial Assets</t>
  </si>
  <si>
    <t>(a)</t>
  </si>
  <si>
    <t>Cash and cash equivalents</t>
  </si>
  <si>
    <t>(b)</t>
  </si>
  <si>
    <t>(d)</t>
  </si>
  <si>
    <t>Loans</t>
  </si>
  <si>
    <t>Investments</t>
  </si>
  <si>
    <t> (2)</t>
  </si>
  <si>
    <t>Property, Plant and Equipment</t>
  </si>
  <si>
    <t>Other non -financial assets (to be specified)</t>
  </si>
  <si>
    <t>Total Assets</t>
  </si>
  <si>
    <t>LIABILITIES</t>
  </si>
  <si>
    <t>Financial Liabilities</t>
  </si>
  <si>
    <t>Provisions</t>
  </si>
  <si>
    <t>Deferred tax liabilities (Net)</t>
  </si>
  <si>
    <t>Other non-financial liabilities(to be specified)</t>
  </si>
  <si>
    <t>EQUITY</t>
  </si>
  <si>
    <t>Equity Share capital</t>
  </si>
  <si>
    <t>Other Equity</t>
  </si>
  <si>
    <t>Total Liabilities and Equity</t>
  </si>
  <si>
    <t>Sr. No</t>
  </si>
  <si>
    <t>(1)</t>
  </si>
  <si>
    <t xml:space="preserve"> (1)</t>
  </si>
  <si>
    <t>(c)</t>
  </si>
  <si>
    <t>(2)</t>
  </si>
  <si>
    <t>Summary of significant accounting policies See accompanying notes forming part of the Financial Statements</t>
  </si>
  <si>
    <t>Revenue from operations</t>
  </si>
  <si>
    <t>(i)</t>
  </si>
  <si>
    <t>Interest Income</t>
  </si>
  <si>
    <t>(ii)</t>
  </si>
  <si>
    <t>Dividend Income</t>
  </si>
  <si>
    <t>(iii)</t>
  </si>
  <si>
    <t>(iv)</t>
  </si>
  <si>
    <t>Net gain on fair value changes</t>
  </si>
  <si>
    <t>Others (to be specified)</t>
  </si>
  <si>
    <t>(I)</t>
  </si>
  <si>
    <t>Total Revenue from operations</t>
  </si>
  <si>
    <t>(II)</t>
  </si>
  <si>
    <t>Other Income (to be specified)</t>
  </si>
  <si>
    <t>(III)</t>
  </si>
  <si>
    <t>Expenses</t>
  </si>
  <si>
    <t>Employee Benefits Expenses</t>
  </si>
  <si>
    <t>Total Expenses (IV)</t>
  </si>
  <si>
    <t>(V)</t>
  </si>
  <si>
    <t>Profit / (loss) before exceptional items and tax (III - IV)</t>
  </si>
  <si>
    <t>Exceptional items</t>
  </si>
  <si>
    <t>Profit/(loss) before tax (V -VI)</t>
  </si>
  <si>
    <t>Tax Expense:</t>
  </si>
  <si>
    <t>(1) Current Tax</t>
  </si>
  <si>
    <t>(2) Deferred Tax</t>
  </si>
  <si>
    <t>Profit / (loss) for the period from continuing operations(VII-VIII)</t>
  </si>
  <si>
    <t>(X)</t>
  </si>
  <si>
    <t>Profit/(loss) from discontinued operations</t>
  </si>
  <si>
    <t>(XI)</t>
  </si>
  <si>
    <t>Tax Expense of discontinued operations</t>
  </si>
  <si>
    <t>Profit/(loss) from discontinued operations(After tax) (X-XI)</t>
  </si>
  <si>
    <t>(XIII )</t>
  </si>
  <si>
    <t>Profit/(loss) for the period (IX+XII)</t>
  </si>
  <si>
    <t>Other Comprehensive Income</t>
  </si>
  <si>
    <t>Subtotal (A)</t>
  </si>
  <si>
    <t>Subtotal (B)</t>
  </si>
  <si>
    <t>Other Comprehensive Income (A + B)</t>
  </si>
  <si>
    <t>(XV)</t>
  </si>
  <si>
    <t>Total Comprehensive Income for the period (XIII+XIV) (Comprising Profit (Loss) and other Comprehensive Income for the period)</t>
  </si>
  <si>
    <t>(XVI)</t>
  </si>
  <si>
    <t>Earnings per equity share (for continuing operations)</t>
  </si>
  <si>
    <t>Basic (Rs.)</t>
  </si>
  <si>
    <t>Diluted (Rs.)</t>
  </si>
  <si>
    <t>(XVII)</t>
  </si>
  <si>
    <t>Earnings per equity share (for discontinued operations)</t>
  </si>
  <si>
    <t>(XVIII )</t>
  </si>
  <si>
    <t>Earnings per equity share (for continuing and discontinued operations)</t>
  </si>
  <si>
    <t>(IV)</t>
  </si>
  <si>
    <t>(VII)</t>
  </si>
  <si>
    <t>(VI)</t>
  </si>
  <si>
    <t>(VIII)</t>
  </si>
  <si>
    <t>(IX)</t>
  </si>
  <si>
    <t>(XII)</t>
  </si>
  <si>
    <t>(XIV)</t>
  </si>
  <si>
    <t>(A)   (i) Items that will not be reclassified to profit or loss (specify items and amounts)</t>
  </si>
  <si>
    <t xml:space="preserve">        (ii) Income tax relating to items that will not be reclassified to profit or loss</t>
  </si>
  <si>
    <t>(B)   (i) Items that will be reclassified to profit or loss (specify items and amounts)</t>
  </si>
  <si>
    <t xml:space="preserve">       (ii) Income tax relating to items that will be reclassified to profit or loss</t>
  </si>
  <si>
    <t> </t>
  </si>
  <si>
    <t>See accompanying notes to the financial statements</t>
  </si>
  <si>
    <t>SIGNIFICANT ACCOUNTING POLICIES AND NOTES TO ACCOUNTS</t>
  </si>
  <si>
    <t>1.</t>
  </si>
  <si>
    <t>CORPORATE INFORMATION</t>
  </si>
  <si>
    <t>2.</t>
  </si>
  <si>
    <t>SIGNIFICANT ACCOUNTING POLICIES</t>
  </si>
  <si>
    <t xml:space="preserve">i. </t>
  </si>
  <si>
    <t>ii.</t>
  </si>
  <si>
    <t>Basis of preparation and presentation</t>
  </si>
  <si>
    <t>iii.</t>
  </si>
  <si>
    <t>The financial statements have been prepared on the historical cost basis except for certain financial instruments that are measured at fair value at the end of each reporting period as explained in the accounting policies below. 
Historical cost is generally based on the fair value of the consideration given in exchange for goods and services at the time of entering into the transaction.</t>
  </si>
  <si>
    <t>Items</t>
  </si>
  <si>
    <t>Measurement Basis</t>
  </si>
  <si>
    <t xml:space="preserve">Certain financial assets and liabilities </t>
  </si>
  <si>
    <t>Fair value</t>
  </si>
  <si>
    <t>Property, plant and equipment</t>
  </si>
  <si>
    <t>Value in use under Ind AS 36</t>
  </si>
  <si>
    <t xml:space="preserve">iv. </t>
  </si>
  <si>
    <t>Use of estimates and judgements</t>
  </si>
  <si>
    <t>The preparation of financial statements requires the management of the Company to make judgements, assumptions and estimates that affect the reported balances of assets and liabilities and disclosures relating to the contingent liabilities as at the date of the financial statements and reported amounts of income and expenses for the reporting period. The application of accounting policies that require critical accounting estimates involving complex and subjective judgments and the use of assumptions in the financial statements have been disclosed as applicable in the respective notes to accounts. Accounting estimates could change from period to period. Future results could differ from these estimates. Appropriate changes in estimates are made as the Management becomes aware of changes in circumstances surrounding the estimates. Changes in estimates are reflected in the financial statements in the period in which changes are made and, if material, their effects are disclosed in the notes to the financial statements.</t>
  </si>
  <si>
    <t>v.</t>
  </si>
  <si>
    <t>vi.</t>
  </si>
  <si>
    <t>vii.</t>
  </si>
  <si>
    <t>a) Financial assets</t>
  </si>
  <si>
    <t>Impairment of Financial Asset</t>
  </si>
  <si>
    <t>viii.</t>
  </si>
  <si>
    <t>Impairment of Trade receivable and Operating lease receivable</t>
  </si>
  <si>
    <t>Impairment allowance on trade receivables is made on the basis of life time credit loss method, in addition to specific provision considering the uncertainty of recoverability of certain receivables.</t>
  </si>
  <si>
    <t>Modification and De-recognition of financial assets</t>
  </si>
  <si>
    <t>De-recognition of financial assets</t>
  </si>
  <si>
    <t>A financial asset (or, where applicable, a part of a financial asset or part of a group of similar financial assets) is derecognised when: 
1) the rights to receive cash flows from the asset have expired, or 
2) the Company has transferred its rights to receive cash flows from the asset and substantially all the risks and rewards of the asset, or the Company has neither transferred nor retained substantially all the risks and rewards of the asset, but has transferred control of the asset.
If the Company retains substantially all the risks and rewards of ownership of a transferred financial asset, the Company continues to recognise the financial asset and also recognises a collateralised borrowing for the proceeds received.</t>
  </si>
  <si>
    <t>Presentation of ECL allowance for financial asset:</t>
  </si>
  <si>
    <t>Type of Financial asset</t>
  </si>
  <si>
    <t>Financial asset measured at amortised cost</t>
  </si>
  <si>
    <t>Financial assets measured at FVTOCI</t>
  </si>
  <si>
    <t>Loan commitments and financial guarantee contracts</t>
  </si>
  <si>
    <t>Disclosure</t>
  </si>
  <si>
    <t>shown separately under the head “Provisions”</t>
  </si>
  <si>
    <t>shown separately under the head “Provisions” and not as a deduction from the gross carrying amount of the assets</t>
  </si>
  <si>
    <t>Where a financial instrument includes both a drawn and an undrawn component and the Company cannot identify the ECL on the loan commitment separately from those on the drawn component, the Company presents a combined loss allowance for both components under “Provisions”.</t>
  </si>
  <si>
    <t>IX.</t>
  </si>
  <si>
    <t>Financial liability and equity</t>
  </si>
  <si>
    <t>Financial liabilities and equity Debt and equity instruments issued are classified as either financial liabilities or as equity in accordance with the substance of the contractual arrangement.</t>
  </si>
  <si>
    <t>X.</t>
  </si>
  <si>
    <t>Cash, Cash equivalents and bank balances</t>
  </si>
  <si>
    <t>Cash, Cash equivalents and bank balances including fixed deposits, margin money deposits, and earmarked balances with banks are carried at amortised cost. Short term and liquid investments being subject to more than insignificant risk of change in value, are not included as part of cash and cash equivalents.</t>
  </si>
  <si>
    <t xml:space="preserve">Property, plant and equipment </t>
  </si>
  <si>
    <t>XII</t>
  </si>
  <si>
    <t>XIII</t>
  </si>
  <si>
    <t>XI.</t>
  </si>
  <si>
    <t>(c) Depreciation and Amortisation</t>
  </si>
  <si>
    <t>Employee Benefits</t>
  </si>
  <si>
    <t>Short-term employee benefits</t>
  </si>
  <si>
    <t>The undiscounted amount of short-term employee benefits expected to be paid in exchange for the services rendered by employees are recognised during the year when the employees render the service. These benefits include performance incentive and compensated absences which are expected to occur within twelve months after the end of the year in which the employee renders the related service. The cost of short-term compensated absences is accounted as under: 
(a) in case of accumulated compensated absences, when employees render the services that increase their entitlement of future compensated absences; and 
(b) in case of non-accumulating compensated absences, when the absences occur.</t>
  </si>
  <si>
    <t>Earnings per share</t>
  </si>
  <si>
    <t>Basic earnings per share has been computed by dividing the profit after tax available for equity shareholders by the weighted average number of shares outstanding during the year.Partly paid up shares are included as fully paid equivalents according to the fraction paid up. Diluted earnings per share has been computed using the weighted average number of shares and dilutive potential shares, except where the result would be anti-dilutive.</t>
  </si>
  <si>
    <t>Taxation</t>
  </si>
  <si>
    <t>XIV</t>
  </si>
  <si>
    <t>Goods and Services Tax</t>
  </si>
  <si>
    <t>XV.</t>
  </si>
  <si>
    <t>The company does not have any Defined Benefit/Contribution Plan, neither  any Long term Employee Benefit as such.</t>
  </si>
  <si>
    <t>XVI.</t>
  </si>
  <si>
    <t>XVII.</t>
  </si>
  <si>
    <t xml:space="preserve">XVIII. </t>
  </si>
  <si>
    <t xml:space="preserve">Depreciable amount for tangible PPE is the cost of an asset, or other amount substituted for cost, less its estimated residual value. </t>
  </si>
  <si>
    <t>Depreciation on tangible PPE deployed for own use has been provided on the straightline method as per the useful life prescribed in Schedule II to the Companies Act, 2013 except in respect of Buildings, Computer Equipment, Vehicles, Plant and Machinery, Software, Licenses, Furniture and Fixture and Office Equipment in whose case the life of the assets has been assessed based on the nature of the asset, the estimated usage of the asset, the operating conditions of the asset, past history of replacement, etc. Depreciation method is reviewed at each financial year end to reflect expected pattern of consumption of the future economic benefits embodied in the asset. The estimated useful life and residual values are also reviewed at each financial year end with the effect of any change in the estimation of useful life/residual value which is accounted on prospective basis. Depreciation for additions to/deductions from, owned assets is calculated pro rata to the remaining period of use. Depreciation charge for impaired assets is adjusted in future periods in such a manner that the revised carrying amount of the asset is allocated over its remaining useful life. 
Intangible Assets are amortised over the estimated useful life during which the benefits are expected to accrue, while Goodwill if any is tested for impairment at each Balance Sheet date. The method of amortisation and useful life are reviewed at the end of each accounting year with the effect of any changes in the estimate being accounted for on a prospective basis. Amortisation on impaired assets is provided by adjusting the amortisation charge in the remaining periods so as to allocate the asset’s revised carrying amount over its remaining useful life.</t>
  </si>
  <si>
    <t xml:space="preserve">Particulars </t>
  </si>
  <si>
    <t>CASH AND CASH EQUIVALENTS</t>
  </si>
  <si>
    <t>a)</t>
  </si>
  <si>
    <t>Equity Share Capital</t>
  </si>
  <si>
    <t>Retained Earnings</t>
  </si>
  <si>
    <t>Reserves and Surplus</t>
  </si>
  <si>
    <t>Fair Valuation of Equity Investments</t>
  </si>
  <si>
    <t>Balance at the beginning of the reporting period</t>
  </si>
  <si>
    <t>Changes in accounting policy or prior period errors</t>
  </si>
  <si>
    <t>Restated balance at the begining of the reporting period</t>
  </si>
  <si>
    <t>Total comprehensive Income for the year</t>
  </si>
  <si>
    <t>Transfer to retained earnings</t>
  </si>
  <si>
    <t>Transfer to Statutory Reserve</t>
  </si>
  <si>
    <t>Balance at the end of the reporting period</t>
  </si>
  <si>
    <t>b)           (i)</t>
  </si>
  <si>
    <t xml:space="preserve">Total </t>
  </si>
  <si>
    <t xml:space="preserve">              (ii)</t>
  </si>
  <si>
    <t>Cash on hand</t>
  </si>
  <si>
    <t>Balances with banks (in the nature of cash and cash equivalents)</t>
  </si>
  <si>
    <t>(A)</t>
  </si>
  <si>
    <t>Total (A)</t>
  </si>
  <si>
    <t>(B)</t>
  </si>
  <si>
    <t>i. Bills Purchased and Bills discounted</t>
  </si>
  <si>
    <t>ii. Loans repayable on demand</t>
  </si>
  <si>
    <t>iii. Term Loans</t>
  </si>
  <si>
    <t>iv. Credit Substitutes</t>
  </si>
  <si>
    <t>v. Leasing and hire purchase</t>
  </si>
  <si>
    <t>vii. Factoring</t>
  </si>
  <si>
    <t>i. Secured by tangible assets</t>
  </si>
  <si>
    <t>ii. Secured by intangible assets</t>
  </si>
  <si>
    <t>iii. Covered by Bank / Government Guarantees</t>
  </si>
  <si>
    <t>iv. Unsecured</t>
  </si>
  <si>
    <t>Total (B)</t>
  </si>
  <si>
    <t>(C )</t>
  </si>
  <si>
    <t>(I) Loans in India</t>
  </si>
  <si>
    <t>i. Public Sector</t>
  </si>
  <si>
    <t>ii. Others</t>
  </si>
  <si>
    <t>Total (C )</t>
  </si>
  <si>
    <t>At Amortised Cost:</t>
  </si>
  <si>
    <t>Note: 6</t>
  </si>
  <si>
    <t>(a) Mutual Funds</t>
  </si>
  <si>
    <t xml:space="preserve">(b) Government Securities </t>
  </si>
  <si>
    <t>(c ) Other Approved Securities</t>
  </si>
  <si>
    <t>(d) Debt Securities</t>
  </si>
  <si>
    <t>(e) Equity Instruments:</t>
  </si>
  <si>
    <t xml:space="preserve">(A) </t>
  </si>
  <si>
    <t>Less: Provision For  Demunition in value of Assets</t>
  </si>
  <si>
    <t xml:space="preserve">Total (A) </t>
  </si>
  <si>
    <t xml:space="preserve">(a) Investment in India </t>
  </si>
  <si>
    <t xml:space="preserve">(b) Investment Outside India </t>
  </si>
  <si>
    <t>Total</t>
  </si>
  <si>
    <t>Note: 7</t>
  </si>
  <si>
    <t>Current Tax Assets</t>
  </si>
  <si>
    <t>Note: 8</t>
  </si>
  <si>
    <t>(a)    Impairment loss allowance - Stage III</t>
  </si>
  <si>
    <t>(b)    Impairment loss allowance - Stage I &amp; II</t>
  </si>
  <si>
    <t>Deferred Tax Asset (net)</t>
  </si>
  <si>
    <t>Deferred Tax Assets :-</t>
  </si>
  <si>
    <t>Deferred Tax Liabilities :-</t>
  </si>
  <si>
    <t>Opening Balance</t>
  </si>
  <si>
    <t>Recognised
/ Reversed Through Profit and Loss</t>
  </si>
  <si>
    <t>Recognised Directly in Equity</t>
  </si>
  <si>
    <t>Recognised
/ Reclassified from  Other Comprehensive Income</t>
  </si>
  <si>
    <t>Closing Balance</t>
  </si>
  <si>
    <t>Gross Block</t>
  </si>
  <si>
    <t>Depreciation</t>
  </si>
  <si>
    <t>Net Block</t>
  </si>
  <si>
    <t>Tangible Assets:</t>
  </si>
  <si>
    <t>Property, Plant and Equipments</t>
  </si>
  <si>
    <t>Face Value Per Unit</t>
  </si>
  <si>
    <t xml:space="preserve">Equity Share </t>
  </si>
  <si>
    <t>a) Authorised:</t>
  </si>
  <si>
    <t>b) Issued Subscribed and Paid Up:</t>
  </si>
  <si>
    <t xml:space="preserve">c) Movements in equity share capital </t>
  </si>
  <si>
    <t>No of Shares</t>
  </si>
  <si>
    <t>Increase during the year</t>
  </si>
  <si>
    <t>Number of Shares</t>
  </si>
  <si>
    <t>% Holding</t>
  </si>
  <si>
    <t>f) Details of shareholders holding more than 5% shares in the company</t>
  </si>
  <si>
    <t xml:space="preserve">Opening </t>
  </si>
  <si>
    <t>Addition during the year</t>
  </si>
  <si>
    <t>Fair Valuation of Equity Instrument</t>
  </si>
  <si>
    <t>Profit after tax during the year</t>
  </si>
  <si>
    <t>Less: Transfer to Statutory Reserve</t>
  </si>
  <si>
    <t xml:space="preserve">On Financial Asset measured at Amortised Cost </t>
  </si>
  <si>
    <t xml:space="preserve">  Interest on Loans</t>
  </si>
  <si>
    <t>Note: 15</t>
  </si>
  <si>
    <t>Net gain/ (loss) on fair value changes</t>
  </si>
  <si>
    <t>a) Net gain/(loss) on investments at fair value through profit or loss</t>
  </si>
  <si>
    <t xml:space="preserve">      i. On trading Portfolio</t>
  </si>
  <si>
    <t xml:space="preserve">                 Investment</t>
  </si>
  <si>
    <t xml:space="preserve">                 Derivatives</t>
  </si>
  <si>
    <t xml:space="preserve">                 Others</t>
  </si>
  <si>
    <t xml:space="preserve">      ii. On financial instruments designated at fair value through Profit or Loss</t>
  </si>
  <si>
    <t>b) Others</t>
  </si>
  <si>
    <t>c) Total Net gain /(loss) on Fair Value changes</t>
  </si>
  <si>
    <t>Fair Value Changes:</t>
  </si>
  <si>
    <t xml:space="preserve">    Realised</t>
  </si>
  <si>
    <t xml:space="preserve">    Unrealised</t>
  </si>
  <si>
    <t xml:space="preserve">    Total Net gain /(loss) on fair value changes</t>
  </si>
  <si>
    <t>Note: 16</t>
  </si>
  <si>
    <t>Other Income</t>
  </si>
  <si>
    <t>Employee Benefit Expenses</t>
  </si>
  <si>
    <t>Salary and Wages</t>
  </si>
  <si>
    <t xml:space="preserve">Impairment on Financial Instrument </t>
  </si>
  <si>
    <t>Other Expenses</t>
  </si>
  <si>
    <t>Other Non-Financial Liabilities</t>
  </si>
  <si>
    <t>Other Non-Financial Assets</t>
  </si>
  <si>
    <t>CASH FLOW FROM OPERATING ACTIVITIES</t>
  </si>
  <si>
    <t>Operating Profit before Working Capital Changes</t>
  </si>
  <si>
    <t>CASH FLOW FROM INVESTING ACTIVITIES</t>
  </si>
  <si>
    <t>CASH FLOW FROM FINANCING ACTIVITIES</t>
  </si>
  <si>
    <t>Managing Director</t>
  </si>
  <si>
    <t>Company Secretary</t>
  </si>
  <si>
    <t>For and on Behalf of the Board of Directors</t>
  </si>
  <si>
    <t>Director</t>
  </si>
  <si>
    <t>Chief financial Officer</t>
  </si>
  <si>
    <t>RICHFIELD FINANCIAL SERVICES LIMITED</t>
  </si>
  <si>
    <t>CIN:L65999WB1992PLC055224</t>
  </si>
  <si>
    <t>SN</t>
  </si>
  <si>
    <t>Adjustment for:</t>
  </si>
  <si>
    <t>Tax Expenses</t>
  </si>
  <si>
    <t>Interest on Fixed Deposit</t>
  </si>
  <si>
    <t>Interest Income on Investments</t>
  </si>
  <si>
    <t>Adjustment for :-</t>
  </si>
  <si>
    <t>Cash Generated from Operations</t>
  </si>
  <si>
    <t>Less :</t>
  </si>
  <si>
    <t>Direct Taxes Paid</t>
  </si>
  <si>
    <t>Cash Inflow(+)/Outflow(-) before Extra Ordinary Items</t>
  </si>
  <si>
    <t>Add(+)/Deduct(-) Prior Period Adjustments</t>
  </si>
  <si>
    <t>Net Cash Inflow(+)/Outflow(-) in Operating Activities</t>
  </si>
  <si>
    <t>Sale/ (Purchase) of Investments</t>
  </si>
  <si>
    <t>Net Cash Inflow(+)/Outflow(-) in Investing Activities</t>
  </si>
  <si>
    <t>(C)</t>
  </si>
  <si>
    <t>Net Cash Inflow(+)/Outflow(-) in Financing Activities</t>
  </si>
  <si>
    <t>NET INCREASE IN CASH &amp; CASH EQUIVALENTS (A+B+C)</t>
  </si>
  <si>
    <t>OPENING CASH AND CASH EQUIVALENTS</t>
  </si>
  <si>
    <t>CLOSING CASH AND CASH EQUIVALENTS</t>
  </si>
  <si>
    <t>Security Deposit</t>
  </si>
  <si>
    <t>Note: 20</t>
  </si>
  <si>
    <t>Note: 21</t>
  </si>
  <si>
    <t>Other Financial Assets</t>
  </si>
  <si>
    <t xml:space="preserve">              1. Investments in Equity Shares</t>
  </si>
  <si>
    <t xml:space="preserve">              2. Investments in Preference Shares</t>
  </si>
  <si>
    <t xml:space="preserve">           i.  (Valued at Fair Value throught OCI) (Unquoted)</t>
  </si>
  <si>
    <t xml:space="preserve">         ii.  (Valued at Fair Value throught Profit or Loss) (Quoted)</t>
  </si>
  <si>
    <t>Total (2)</t>
  </si>
  <si>
    <t>Total (e = 1+2)</t>
  </si>
  <si>
    <t>Securities Premium Reserves</t>
  </si>
  <si>
    <t>General Reserve</t>
  </si>
  <si>
    <t>a) Securities Premium</t>
  </si>
  <si>
    <t>c) General Reserve</t>
  </si>
  <si>
    <t>d) Retained Earnings</t>
  </si>
  <si>
    <t>e) Fair valuation of Equity Instruments</t>
  </si>
  <si>
    <t xml:space="preserve">Others expenses </t>
  </si>
  <si>
    <t>Total (1 = i + ii)</t>
  </si>
  <si>
    <t xml:space="preserve">Total (a) </t>
  </si>
  <si>
    <t>Transfer to Retained Earnings</t>
  </si>
  <si>
    <t>Note: 23</t>
  </si>
  <si>
    <t>Asset Classification as per RBI Norms</t>
  </si>
  <si>
    <t>Asset classifica tion as per Ind AS 109</t>
  </si>
  <si>
    <t>Gross Carrying Amount as per Ind AS</t>
  </si>
  <si>
    <t>Loss Allowances (Provisions) as required under Ind AS 109</t>
  </si>
  <si>
    <t>Net Carrying Amount</t>
  </si>
  <si>
    <t>Provisions required as per IRACP norms</t>
  </si>
  <si>
    <t>(5)=(3)-(4)</t>
  </si>
  <si>
    <t>(7) = (4)-(6)</t>
  </si>
  <si>
    <t>Performing Assets</t>
  </si>
  <si>
    <t>Standard</t>
  </si>
  <si>
    <t>Stage 1</t>
  </si>
  <si>
    <t>Stage 2</t>
  </si>
  <si>
    <t>Subtotal</t>
  </si>
  <si>
    <t>Non-Performing Assets (NPA)</t>
  </si>
  <si>
    <t>Substandard</t>
  </si>
  <si>
    <t>Stage 3</t>
  </si>
  <si>
    <t>Doubtful -  up to 1 year</t>
  </si>
  <si>
    <t>1 to 3 years</t>
  </si>
  <si>
    <t>More than 3 years</t>
  </si>
  <si>
    <t>Subtotal for doubtful</t>
  </si>
  <si>
    <t>Loss</t>
  </si>
  <si>
    <t>Subtotal for NPA</t>
  </si>
  <si>
    <t>Other items such as guarantees, loan commitments, etc. which are in the scope of Ind AS 109 but not covered   under   current   Income Recognition, Asset Classification and Provisioning (IRACP) norms</t>
  </si>
  <si>
    <t>Reconciliation of Expected Credit Loss as per Ind AS and IRACP</t>
  </si>
  <si>
    <t>Financial instruments by category</t>
  </si>
  <si>
    <t>Carrying
Amount</t>
  </si>
  <si>
    <t>Levels of Input used in Fair valuation</t>
  </si>
  <si>
    <t>Level 1</t>
  </si>
  <si>
    <t>Level 2</t>
  </si>
  <si>
    <t>Level 3</t>
  </si>
  <si>
    <t>At Amortised Cost</t>
  </si>
  <si>
    <t>Cash and Cash Equivalants</t>
  </si>
  <si>
    <t>Investment in Equity (Quoted)</t>
  </si>
  <si>
    <t>Investment in Mutual Fund</t>
  </si>
  <si>
    <t>Other Approved Securities (Quoted)</t>
  </si>
  <si>
    <t>The significant accounting policies, including the criteria for recognition, the basis of measurement and the basis on which income and expenses are recognised, in respect of each class of financial asset, financial liability and equity instrument are disclosed in note 2(iii) to the financial statements.</t>
  </si>
  <si>
    <t>At FVTPL:</t>
  </si>
  <si>
    <t>AT FVTOCI:</t>
  </si>
  <si>
    <t>Investment in Equity (Unquoted)</t>
  </si>
  <si>
    <t>Trade Receivables</t>
  </si>
  <si>
    <t xml:space="preserve">           i.  (Valued at Fair Value throught FVTPL) (Quoted)</t>
  </si>
  <si>
    <t>Note: 24</t>
  </si>
  <si>
    <t>Liabilities Side:</t>
  </si>
  <si>
    <t>Amount Outstanding at:</t>
  </si>
  <si>
    <t>(a) Debentures : Secured</t>
  </si>
  <si>
    <t xml:space="preserve">                                   Unsecured(other than falling within the meaning of public deposits)</t>
  </si>
  <si>
    <t>(b) Deferred Credits</t>
  </si>
  <si>
    <t>(c) Term Loans</t>
  </si>
  <si>
    <t>(d) Inter-corporate loans and borrowing</t>
  </si>
  <si>
    <t>(e) Commercial Paper</t>
  </si>
  <si>
    <t>(f) Public Deposits</t>
  </si>
  <si>
    <t>(g) Other Loans- Loans Repayable on Demand</t>
  </si>
  <si>
    <t>(a) Secured</t>
  </si>
  <si>
    <t>(b) Unsecured</t>
  </si>
  <si>
    <t>2. Break-up of Loans and Advances including bills receivables [other than those included in (3) below] :</t>
  </si>
  <si>
    <t>i) Lease assets including lease rentals
under sundry debtors:
(a) Financial Lease
(b) Operating Lease</t>
  </si>
  <si>
    <t>ii) Stock on hire including hire charges
under sundry debtors
(a) Assets on hire 
(b) Repossessed assets</t>
  </si>
  <si>
    <t>3.  Break up of Leased Assets and stock on hire and other assets counting towards asset financing activities</t>
  </si>
  <si>
    <t>4. Break up of Investments</t>
  </si>
  <si>
    <t>Long Term Investments :</t>
  </si>
  <si>
    <t xml:space="preserve">    (i) Shares</t>
  </si>
  <si>
    <t xml:space="preserve">          (a) Equity</t>
  </si>
  <si>
    <t xml:space="preserve">          (b) Preference</t>
  </si>
  <si>
    <t xml:space="preserve">    (ii) Debentures and Bonds
    (iii) Units of Mutual Funds 
    (iv) Government Securities</t>
  </si>
  <si>
    <t xml:space="preserve">    (v) Others</t>
  </si>
  <si>
    <t>1 Quoted</t>
  </si>
  <si>
    <t>2 Unquoted</t>
  </si>
  <si>
    <t>5. Borrower group-wise classification of assets financed as in (2) and (3) above :</t>
  </si>
  <si>
    <t>1. Related Parties</t>
  </si>
  <si>
    <t xml:space="preserve">  (a) Subsidiaries</t>
  </si>
  <si>
    <t xml:space="preserve">  (b) Companies in the same group</t>
  </si>
  <si>
    <t xml:space="preserve">  (c ) Other related parties</t>
  </si>
  <si>
    <t>Secured</t>
  </si>
  <si>
    <t>Unsecured</t>
  </si>
  <si>
    <t>Amount net of provisions</t>
  </si>
  <si>
    <t>6. Investor group-wise classification of all investments (current and long-term) in shares and securities (both quoted and unquoted)</t>
  </si>
  <si>
    <t>Category</t>
  </si>
  <si>
    <t>Market
Value /
Breakup
Value or
Fair Value
or
NAV *</t>
  </si>
  <si>
    <t>Book Value
(Net of
Provisions)</t>
  </si>
  <si>
    <t>1. Related Parties:</t>
  </si>
  <si>
    <t xml:space="preserve">      (a) Subsidiaries</t>
  </si>
  <si>
    <t xml:space="preserve">      (c ) Other related parties</t>
  </si>
  <si>
    <t xml:space="preserve">      (b) Companies in the same group</t>
  </si>
  <si>
    <t>2.  Other than related parties</t>
  </si>
  <si>
    <t>* Market value / Break-up value / Fair value / NAV of unquoted non-current investments is considered to be same as their book value (net of provisions).</t>
  </si>
  <si>
    <t>Asset Side:</t>
  </si>
  <si>
    <t>6. Other Information</t>
  </si>
  <si>
    <t>(i) Gross Non-Performing Assets</t>
  </si>
  <si>
    <t>(ii) Net Non-Performing Assets</t>
  </si>
  <si>
    <t>(iii) Assets acquired in satisfaction of debt</t>
  </si>
  <si>
    <t>-
-</t>
  </si>
  <si>
    <t xml:space="preserve">
-
-
-
-
-
-
-
-
-
-
-
-</t>
  </si>
  <si>
    <t>-
-
-</t>
  </si>
  <si>
    <t>2. Other than related parties</t>
  </si>
  <si>
    <t>-</t>
  </si>
  <si>
    <t>(As required by RBI Master Direction RBI/2019-20/170
DOR (NBFC).CC.PD.No.109/22.10.106/2019-20 dated March 13, 2020)</t>
  </si>
  <si>
    <t>Footnotes:</t>
  </si>
  <si>
    <t>Note: 5</t>
  </si>
  <si>
    <t>(II) Loans outside India</t>
  </si>
  <si>
    <t xml:space="preserve">     -Subsidiaries</t>
  </si>
  <si>
    <t xml:space="preserve">     -Associates</t>
  </si>
  <si>
    <t xml:space="preserve">     -Joint Venure</t>
  </si>
  <si>
    <t xml:space="preserve">     -Others:</t>
  </si>
  <si>
    <t>Tax Deducted at Source (Net of Provision)</t>
  </si>
  <si>
    <t>Interest on FD</t>
  </si>
  <si>
    <t>Other Financial Income</t>
  </si>
  <si>
    <t>Note: 25</t>
  </si>
  <si>
    <t>a) List of Related Paties and Relationship:</t>
  </si>
  <si>
    <t>Key Management Personnel &amp; Other Director:</t>
  </si>
  <si>
    <t>Relationship</t>
  </si>
  <si>
    <t>Key Managerial Personnel</t>
  </si>
  <si>
    <t>b) Details of transaction during the year</t>
  </si>
  <si>
    <t>Related Parties disclosers as required by Ind AS 24:</t>
  </si>
  <si>
    <t>Special Reserve (RBI)</t>
  </si>
  <si>
    <t>b) Special Reserve (RBI)</t>
  </si>
  <si>
    <t>Securities Premium</t>
  </si>
  <si>
    <t xml:space="preserve">Air Conditioner </t>
  </si>
  <si>
    <t>Computer</t>
  </si>
  <si>
    <t>Furniture and Fixture</t>
  </si>
  <si>
    <t>Office Equipment</t>
  </si>
  <si>
    <t>Mobile Phone</t>
  </si>
  <si>
    <t>Fax Mechine</t>
  </si>
  <si>
    <t>Inverter</t>
  </si>
  <si>
    <t>(c)    Gain on Fair Valuation of Equity Instruments (Consolidated Gain)</t>
  </si>
  <si>
    <t>Salary Payable</t>
  </si>
  <si>
    <t>Change in Other Financial Liabilities</t>
  </si>
  <si>
    <t>Change in Other Financial Assets</t>
  </si>
  <si>
    <t>(c)    Depreciation on Property, plant and equipment</t>
  </si>
  <si>
    <t>Impairment of Asset carried at amortised cost or FVTOCI</t>
  </si>
  <si>
    <t>Net Loss / (Gain) in Fair Value Changes through OCI after Tax</t>
  </si>
  <si>
    <t>(D)</t>
  </si>
  <si>
    <t>(E)</t>
  </si>
  <si>
    <t>(F)</t>
  </si>
  <si>
    <t>1. Useful lives of assets has been determined as per companies act 2013. No depreciation has been provided for the assets which are carried at or lower than its salvage value.</t>
  </si>
  <si>
    <t>Sitting Fee to Director</t>
  </si>
  <si>
    <t>Repair and Maintenance</t>
  </si>
  <si>
    <t>Telephone Expenses</t>
  </si>
  <si>
    <t>Travelling Expenses</t>
  </si>
  <si>
    <t>Loan Provided</t>
  </si>
  <si>
    <t>Note: 27</t>
  </si>
  <si>
    <t>Previous year figures have been regrouped or rearranged wherever necessary.</t>
  </si>
  <si>
    <t xml:space="preserve">M/s Richfield Financial Services Ltd. stands as a professionally managed company wherein the overall management is vested in the Board of Directors, comprised of experienced persons in varied facets of the sector. </t>
  </si>
  <si>
    <t>Dividend Paid</t>
  </si>
  <si>
    <t>Richfield Financial Services Limited</t>
  </si>
  <si>
    <t>Contingent Provision for Standard Assets</t>
  </si>
  <si>
    <t>The company does not deal in taxable goods and service under GST but the company pays Sitting Fees to its Directors which is liable to GST under Reverse Charge Mechanism, hence the company is registered under Goods and Service Tax Act. Any  GST input Tax credit is expensed as per relevant accounting standard for the expenses.</t>
  </si>
  <si>
    <t>Note: 22</t>
  </si>
  <si>
    <t>Less: Transfer to Reserve Fund</t>
  </si>
  <si>
    <t>Excess amount paid W/Off</t>
  </si>
  <si>
    <t>Note: 3</t>
  </si>
  <si>
    <t>Note: 4</t>
  </si>
  <si>
    <t>Note -9</t>
  </si>
  <si>
    <t>Note: 10</t>
  </si>
  <si>
    <t>Note: 13</t>
  </si>
  <si>
    <t>Note: 18</t>
  </si>
  <si>
    <t>Fair value for measurement and/or disclosure purposes for certain items in these financial statements is determined considering following methods:  Fair value measurements under Ind AS are categorised into Level 1, 2, or 3 based on the degree to which the inputs to the fair value measurements are observable and the significance of the inputs to the fair value measurement in its entirety, which are described as follows:
a) Level 1: inputs are quoted prices (unadjusted) in active markets for identical assets or liabilities that the Company can access at measurement date 
b) Level 2: inputs are inputs, other than quoted prices included within level 1, that are observable for the asset or liability, either directly or indirectly; and 
c) Level 3: inputs are unobservable inputs for the valuation of assets or liabilities that the Company can access at measurement date. For details relating to valuation model and framework used for fair value measurement and disclosure of financial instrument refer to note 21.</t>
  </si>
  <si>
    <t>The Company is required to recognise Expected Credit Losses (ECLs) based on forward looking information for all financial assets at amortised cost, lease receivables, debt financial assets at fair value through other comprehensive income, loan commitments and financial guarantee contracts. No impairment loss is applicable on equity investments.
At the reporting date, an allowance (or provision for loan commitments and financial guarantees) is required on stage 1 assets at 12 month ECLs. If the credit risk has significantly increased since initial recognition (Stage 1), an allowance (or provision) should be recognised for the lifetime ECLs for financial instruments for which the credit risk has increased
significantly since initial recognition (Stage 2) or which are credit impaired (Stage 3).
The measurement of ECL is calculated using three main components: (i) Probability of Default (PD) (ii) Loss Given Default (LGD) and (iii) the Exposure At Default (EAD). The 12 month ECL is calculated by multiplying the 12 month PD, LGD and the EAD. The 12 month and lifetime PDs represent the PD occurring over the next 12 months and the remaining maturity of the instrument respectively. The EAD represents the expected balance at default, taking into account the repayment of principal and interest from the balance sheet date to the default event together with any expected drawdowns of committed facilities. The LGD represents expected losses on the EAD given the event of default, taking into account, among other attributes, the mitigating effect of collateral value at the time it is expected to be realised and the time value of money.
The Company applies a three-stage approach to measure ECL on financial assets accounted for at amortised cost and FVOCI. Assets migrate through the following three stages based on the change in credit quality since initial recognition.</t>
  </si>
  <si>
    <t>Note : As prescribed by section 45-IC of the Reserve Bank of India Act, 1934, the Company is required to transfer 20% of its net profit every year, as disclosed in the Statement of Profit &amp; Loss before any dividend is declared, to Special Reserve. As company has net loss in current financial year hence no special reserve has been created.</t>
  </si>
  <si>
    <t>Provision against Stage 3 assets (Unquoted Equity Instruments Valued through FVOCI)</t>
  </si>
  <si>
    <t>Disclosure of details as required by RBI/DNBR/2016-17/44 i.e Master Direction - Non-Banking Financial Company –Non-Systemically Important Non-Deposit taking Company (Reserve Bank) Directions, 2016</t>
  </si>
  <si>
    <t xml:space="preserve"> (ii) Debentures and Bonds</t>
  </si>
  <si>
    <t xml:space="preserve"> (iii) Units of Mutual Funds </t>
  </si>
  <si>
    <t xml:space="preserve"> (iv) Government Securities</t>
  </si>
  <si>
    <t>Additions/
Deductions</t>
  </si>
  <si>
    <t>Note: 26</t>
  </si>
  <si>
    <t>Accrued Interest Receivable</t>
  </si>
  <si>
    <t>Misc. Income</t>
  </si>
  <si>
    <t>Bad Debts</t>
  </si>
  <si>
    <t>₹</t>
  </si>
  <si>
    <t>Postage &amp; Courier</t>
  </si>
  <si>
    <t>Printing &amp; Stationery</t>
  </si>
  <si>
    <t>Rates &amp; Taxes</t>
  </si>
  <si>
    <t>Advertisement Expenses</t>
  </si>
  <si>
    <t>Payment To Auditors</t>
  </si>
  <si>
    <t xml:space="preserve">        As Audit Fees *</t>
  </si>
  <si>
    <t>Bank Charges</t>
  </si>
  <si>
    <t>Electricity Expenses</t>
  </si>
  <si>
    <t>Amount(`)</t>
  </si>
  <si>
    <t>33 BRABOURNE ROAD</t>
  </si>
  <si>
    <t>5TH FLOOR</t>
  </si>
  <si>
    <t>CALCUTTA-700 001</t>
  </si>
  <si>
    <t>PH.:2242 5812 2248 6041</t>
  </si>
  <si>
    <t>FAX :2242 6208</t>
  </si>
  <si>
    <t>Trial Balance</t>
  </si>
  <si>
    <t/>
  </si>
  <si>
    <t>Richfield Financial Services Ltd- Indas 31.12.2021 - (from 1-Apr-2021)</t>
  </si>
  <si>
    <t>Debit</t>
  </si>
  <si>
    <t>Credit</t>
  </si>
  <si>
    <t>Indirect Incomes</t>
  </si>
  <si>
    <t>Indirect Expenses</t>
  </si>
  <si>
    <t>Administrative Expenses</t>
  </si>
  <si>
    <t>Advertisment</t>
  </si>
  <si>
    <t>Electricity Charges</t>
  </si>
  <si>
    <t>Capital Account</t>
  </si>
  <si>
    <t>Reserves &amp; Surplus</t>
  </si>
  <si>
    <t>Profit and Loss A/c</t>
  </si>
  <si>
    <t>Share Premium A/c</t>
  </si>
  <si>
    <t>Share Capital</t>
  </si>
  <si>
    <t>Current Assets</t>
  </si>
  <si>
    <t>Bank Accounts</t>
  </si>
  <si>
    <t>HDFC Trissur 50200062957881</t>
  </si>
  <si>
    <t>Kotak Mahindra Bank CA- 9312245147</t>
  </si>
  <si>
    <t>Cash-in-hand</t>
  </si>
  <si>
    <t>Cash</t>
  </si>
  <si>
    <t>Loans &amp; Advances (Asset)</t>
  </si>
  <si>
    <t>OTHERS</t>
  </si>
  <si>
    <t>PMB</t>
  </si>
  <si>
    <t>Opening Stock</t>
  </si>
  <si>
    <t>FD AT KOTAK BANK</t>
  </si>
  <si>
    <t>Sundry Debtors</t>
  </si>
  <si>
    <t>TDS</t>
  </si>
  <si>
    <t>TDS AY 2020-21</t>
  </si>
  <si>
    <t>TDS AY 2021-22</t>
  </si>
  <si>
    <t>TDS AY 2022-23</t>
  </si>
  <si>
    <t>FIXED DEPOSITE - ESAF</t>
  </si>
  <si>
    <t>FIXED DEPOSITE - RBL BANK</t>
  </si>
  <si>
    <t>Current Liabilities</t>
  </si>
  <si>
    <t>Tds Payable</t>
  </si>
  <si>
    <t>Liabilities for Expenses</t>
  </si>
  <si>
    <t>CONTINGENT PROVISION AGAINST STANDARD ASSETS</t>
  </si>
  <si>
    <t>Contingent Provision Agt. Standard Assets</t>
  </si>
  <si>
    <t>PROVISION FOR TAXATION</t>
  </si>
  <si>
    <t>Provision for Tax A.Y. 2021-22</t>
  </si>
  <si>
    <t>Sundry Creditors</t>
  </si>
  <si>
    <t>Deferred Tax Assets</t>
  </si>
  <si>
    <t>Fixed Assets</t>
  </si>
  <si>
    <t>Profit &amp; Loss A/c</t>
  </si>
  <si>
    <t>Grand Total</t>
  </si>
  <si>
    <t>Professional Tax</t>
  </si>
  <si>
    <t>IGST</t>
  </si>
  <si>
    <t>TDS Payable</t>
  </si>
  <si>
    <t>Provision for Tax</t>
  </si>
  <si>
    <t>2. The Company has asset only under the head Office Equipment under Property, Plant and Equipment and hence other Heads as given in Schedule III Division III of Companies Act, 2013 has not been shown under Property, Plant and Equipment.The company has written off Obselet assets</t>
  </si>
  <si>
    <t>(Figures in Rs.)</t>
  </si>
  <si>
    <t>3b</t>
  </si>
  <si>
    <t>Vadasseril Chacko Georgekutty</t>
  </si>
  <si>
    <t>DIN: 09194854</t>
  </si>
  <si>
    <t>Varghese Mathew</t>
  </si>
  <si>
    <t>DIN: 08001027</t>
  </si>
  <si>
    <t>Vishnu Sivan</t>
  </si>
  <si>
    <t>V C Georgekutty</t>
  </si>
  <si>
    <t>Midhun Ittoop</t>
  </si>
  <si>
    <t>Elen Elu Shibu</t>
  </si>
  <si>
    <t>Erin Lizbeth Shibu</t>
  </si>
  <si>
    <t>Rent</t>
  </si>
  <si>
    <t>AUDIT EXPENSE</t>
  </si>
  <si>
    <t>INCOME TAX REFUNDABLE AY 2020-21</t>
  </si>
  <si>
    <t>ROOM SECURITY</t>
  </si>
  <si>
    <t>FIXED DEPOSITE - HDFC</t>
  </si>
  <si>
    <t>HEAD OFFICE KMGM</t>
  </si>
  <si>
    <t>TDS RECEIVABLE</t>
  </si>
  <si>
    <t>PROVISION FOR INCOME TAX</t>
  </si>
  <si>
    <t>Furniture &amp; Fixture</t>
  </si>
  <si>
    <t>SOFTWARE</t>
  </si>
  <si>
    <t>FEDERAL BANK 13852</t>
  </si>
  <si>
    <t>South India Bank - 52675</t>
  </si>
  <si>
    <t>BRANCH /Division</t>
  </si>
  <si>
    <t>Rent Payable</t>
  </si>
  <si>
    <t>Salary payable</t>
  </si>
  <si>
    <t>Social Welfare Fund</t>
  </si>
  <si>
    <t>Interest on MF</t>
  </si>
  <si>
    <t>Office furnishing</t>
  </si>
  <si>
    <t>Central GST</t>
  </si>
  <si>
    <t>State GST</t>
  </si>
  <si>
    <t>Miscellaneous Income</t>
  </si>
  <si>
    <t>Processing Charges Received</t>
  </si>
  <si>
    <t>Esi</t>
  </si>
  <si>
    <t>INSURANCE CHARGES RECEIVED</t>
  </si>
  <si>
    <t>GST</t>
  </si>
  <si>
    <t xml:space="preserve">
Deprecition</t>
  </si>
  <si>
    <t>InTangible Assets:</t>
  </si>
  <si>
    <t>Software</t>
  </si>
  <si>
    <t>Additions/
Deductions &gt; 180 days</t>
  </si>
  <si>
    <t>Additions/
Deductions &lt; 180 days</t>
  </si>
  <si>
    <t xml:space="preserve">UDIN: </t>
  </si>
  <si>
    <t>Audit fee payable</t>
  </si>
  <si>
    <t>Loans and Advances</t>
  </si>
  <si>
    <t>Insurance charges</t>
  </si>
  <si>
    <t>Purchase of Fixed Asset</t>
  </si>
  <si>
    <t>Change in Current Tax Assets</t>
  </si>
  <si>
    <t>Other payable</t>
  </si>
  <si>
    <t>Vadasseril Chacko Georgekutty - Managing Director</t>
  </si>
  <si>
    <t>Vishnu Sivan - CFO</t>
  </si>
  <si>
    <t>In exercise of the powers conferred by sub-section (1) of section 467 of the Companies Act, 2013 (18 of 2013), the Central Government hereby has made the following further amendments in Schedule III to the said Act with effect from 1st day of April, 2021</t>
  </si>
  <si>
    <t>Ratio</t>
  </si>
  <si>
    <t>Numerator</t>
  </si>
  <si>
    <t>Denominator</t>
  </si>
  <si>
    <t>Variance %</t>
  </si>
  <si>
    <t>Remarks</t>
  </si>
  <si>
    <t>LIQUIDITY RATIOS</t>
  </si>
  <si>
    <t>Current Ratio</t>
  </si>
  <si>
    <t>Total current assets</t>
  </si>
  <si>
    <t>Total current liabilities</t>
  </si>
  <si>
    <t>SOLVENCY RATIOS</t>
  </si>
  <si>
    <t>Debt-Equity Ratio</t>
  </si>
  <si>
    <t>Total Equity</t>
  </si>
  <si>
    <t>Debt Service Coverage Ratio</t>
  </si>
  <si>
    <t>Not Available</t>
  </si>
  <si>
    <t>TURNOVER RATIOS (in times)</t>
  </si>
  <si>
    <t>Inventory turnover ratio</t>
  </si>
  <si>
    <t>Trade Receivables turnover ratio</t>
  </si>
  <si>
    <t>Revenue from Operations</t>
  </si>
  <si>
    <t>Trade payables turnover ratio</t>
  </si>
  <si>
    <t>Trade Payables</t>
  </si>
  <si>
    <t>Net capital turnover ratio</t>
  </si>
  <si>
    <t>OPERATING RATIOS (in %)</t>
  </si>
  <si>
    <t>Net profit ratio</t>
  </si>
  <si>
    <t>Profit Before Tax</t>
  </si>
  <si>
    <t>Return on Equity Ratio</t>
  </si>
  <si>
    <t>Profit After Tax</t>
  </si>
  <si>
    <t>Return on Capital employed</t>
  </si>
  <si>
    <t>Return on investment</t>
  </si>
  <si>
    <t>The company shall explain the items included in numerator and denominator for computing the above ratios. Further explanation shall be provided for any change in the ratio by more than 25% as compared to the preceding year.</t>
  </si>
  <si>
    <t>Varghse Mathew - Non-Executive Director</t>
  </si>
  <si>
    <t>Midhun Ittoop- Non - Executive Director</t>
  </si>
  <si>
    <t>Neethu Subramoniyan - Independent Director</t>
  </si>
  <si>
    <t xml:space="preserve">Indu Kamala Ravindran- Independent Director </t>
  </si>
  <si>
    <t>Priyanka Kalra - Company Secretary</t>
  </si>
  <si>
    <t>2B, GRANT LANE,2ND FLOOR, KOLKATA ,WB- 700 012 IN</t>
  </si>
  <si>
    <t>The registere offfice of the company is 2B, GRANT LANE,2ND FLOOR, KOLKATA ,WB- 700 012 IN.Address other than R/o where all or any books of account and papers are maintained is 4th Floor VM Plaza, Palarivattom Ernakulam KL 682025 IN</t>
  </si>
  <si>
    <t>Amount in Rs.</t>
  </si>
  <si>
    <t>Total (Amount in Rs.)</t>
  </si>
  <si>
    <t>Year ended
March 31, 2023</t>
  </si>
  <si>
    <t xml:space="preserve">Diclosure number </t>
  </si>
  <si>
    <t>Disclosures as required under Schedule III amendments</t>
  </si>
  <si>
    <t>Promoter shareholder at the end of the year</t>
  </si>
  <si>
    <t>Promoter name</t>
  </si>
  <si>
    <t>% change during the year</t>
  </si>
  <si>
    <t xml:space="preserve">No. of shares </t>
  </si>
  <si>
    <t>% of total shares</t>
  </si>
  <si>
    <t xml:space="preserve"> the details of the shareholders having more than 5% shareholding is shown as disclosures to notes </t>
  </si>
  <si>
    <t xml:space="preserve">Trade payables ageing schedules </t>
  </si>
  <si>
    <t>Outstanding for the following periods from the date of payment ( Payable)</t>
  </si>
  <si>
    <t>Less than 1 year</t>
  </si>
  <si>
    <t>1-2 yrs</t>
  </si>
  <si>
    <t>2-3 yrs</t>
  </si>
  <si>
    <t>more than 3 yrs</t>
  </si>
  <si>
    <t>total</t>
  </si>
  <si>
    <t>(1) MSME</t>
  </si>
  <si>
    <t>(2) Others</t>
  </si>
  <si>
    <t>(3) Disputed dues- MSME</t>
  </si>
  <si>
    <t>(4) Disputed dues- Others</t>
  </si>
  <si>
    <t>Note: the outstanding payable ageing is shown based on the period it is outstanding after the due dates</t>
  </si>
  <si>
    <t xml:space="preserve">Receivables ageing schedules </t>
  </si>
  <si>
    <t>Outstanding for the following periods from the date of receivables ( Receivables)</t>
  </si>
  <si>
    <t xml:space="preserve">(1) Undisputed - Trade receivables considered good </t>
  </si>
  <si>
    <t>(2) Undisputed - Trade receivables considered doubtful</t>
  </si>
  <si>
    <t xml:space="preserve">(3) Disputed - Trade receivables considered good </t>
  </si>
  <si>
    <t>(4) Disputed - Trade receivables considered doubtful</t>
  </si>
  <si>
    <t>Tiltle deeds of the properties not held in the name of  the company</t>
  </si>
  <si>
    <t>Relevant line item in balance sheet</t>
  </si>
  <si>
    <t>Description of property</t>
  </si>
  <si>
    <t xml:space="preserve">Gross carrying value </t>
  </si>
  <si>
    <t>title deed held in name of company</t>
  </si>
  <si>
    <t xml:space="preserve">Whether the deed is held in name of promoters or relatives </t>
  </si>
  <si>
    <t xml:space="preserve">Property held since </t>
  </si>
  <si>
    <t xml:space="preserve">Reason for not held in name of company </t>
  </si>
  <si>
    <t xml:space="preserve">Note: only the building has been considered here as a immovable property, however a detailed fixed assets registery is provided. Also all the assets which are included in Property Plant and equipment and intangible assets are in the name of the company </t>
  </si>
  <si>
    <t xml:space="preserve">Discloses on revaluation of assets </t>
  </si>
  <si>
    <t>Disclosure on providing loan to directors/ related parties/ key managerial persons</t>
  </si>
  <si>
    <t>Type of borrower</t>
  </si>
  <si>
    <t>Amount of loans provided</t>
  </si>
  <si>
    <t>%of loans to total loans and advances</t>
  </si>
  <si>
    <t>Promoters</t>
  </si>
  <si>
    <t>Key managerial Persons</t>
  </si>
  <si>
    <t>Related Parties</t>
  </si>
  <si>
    <t>Capital work-in progress Details</t>
  </si>
  <si>
    <t>Intangible assets work in progress</t>
  </si>
  <si>
    <t>Details of Benami Property held</t>
  </si>
  <si>
    <t>Company doesnot have any proceedings have been initiated or pending against the company for holding any benami property under the Benami Transactions .(prohibition) Act ,1988 (45 of 1988)</t>
  </si>
  <si>
    <t>Company doesnot hold any property falling under the relevant sections of Benami transactions prohibition act.</t>
  </si>
  <si>
    <t>Working Capital Borrowings</t>
  </si>
  <si>
    <t>Wilful Defaulter</t>
  </si>
  <si>
    <t xml:space="preserve">Borrowings from financial institutions </t>
  </si>
  <si>
    <t>Utilisation of share premium</t>
  </si>
  <si>
    <t>Relationship with struck off companies</t>
  </si>
  <si>
    <t>Company doesn’t maintain any relationship with any struck off companies falling within the provisions of the section 248 of the companies act 2013 or section 560 of companies act 1956</t>
  </si>
  <si>
    <t xml:space="preserve">Registration of charges with registrar of companies </t>
  </si>
  <si>
    <t xml:space="preserve">There are no pending charges to be registered with registrar of companies </t>
  </si>
  <si>
    <t xml:space="preserve">Compliance of subsidiaries </t>
  </si>
  <si>
    <t xml:space="preserve">Compliance with approved schemes </t>
  </si>
  <si>
    <t xml:space="preserve">Company is not under any schemes or arrangements as approved by the Competent authority in terms of Section 230-237 of Companies Act 2013 </t>
  </si>
  <si>
    <t>Undisclosed Income</t>
  </si>
  <si>
    <t>Corporate Social Responsibility (CSR)</t>
  </si>
  <si>
    <t xml:space="preserve">Crypto Currency </t>
  </si>
  <si>
    <t>The company has not received any deposits or advances from any persons for the purpose of trading in crypto currency or virtual currency</t>
  </si>
  <si>
    <t>Nil</t>
  </si>
  <si>
    <t>Directors advances</t>
  </si>
  <si>
    <t>Continent provision - Std asset</t>
  </si>
  <si>
    <t>Change in provision</t>
  </si>
  <si>
    <t>other advance</t>
  </si>
  <si>
    <t>Total Income</t>
  </si>
  <si>
    <t>As at 31.03.2024</t>
  </si>
  <si>
    <t>Balance as at March 31, 2024</t>
  </si>
  <si>
    <t>As at March 31st, 2024</t>
  </si>
  <si>
    <t>As at March 31, 2024</t>
  </si>
  <si>
    <t>As at 31st March, 2024</t>
  </si>
  <si>
    <t>Name Board</t>
  </si>
  <si>
    <t>Federal Gold and MSME Collection (18686)</t>
  </si>
  <si>
    <t>Federal Gold Loan and BR TRF (18694)</t>
  </si>
  <si>
    <t>Federal Head Office Accounts (18603)</t>
  </si>
  <si>
    <t>Federal MSME Debit (18660)</t>
  </si>
  <si>
    <t>Federal Private NCD (18678)</t>
  </si>
  <si>
    <t>Federal Subdebt (18652)</t>
  </si>
  <si>
    <t>Entenaad MSCS - Advance</t>
  </si>
  <si>
    <t>Festival Bonus</t>
  </si>
  <si>
    <t>Direct Expenses</t>
  </si>
  <si>
    <t>Incentive for Customer</t>
  </si>
  <si>
    <t>Incentive for Staff</t>
  </si>
  <si>
    <t>Salaries &amp; Wages</t>
  </si>
  <si>
    <t>Sitting Fee</t>
  </si>
  <si>
    <t>Stamp Paper &amp; Revenue Stamp</t>
  </si>
  <si>
    <t>Direct Income</t>
  </si>
  <si>
    <t>Interest on SBL</t>
  </si>
  <si>
    <t>Cibil Charges</t>
  </si>
  <si>
    <t>Collection Incentive</t>
  </si>
  <si>
    <t>Discount</t>
  </si>
  <si>
    <t>Expenses Room Rent</t>
  </si>
  <si>
    <t>Internet Charges</t>
  </si>
  <si>
    <t>Labour Office Charge</t>
  </si>
  <si>
    <t>Marketing Expense</t>
  </si>
  <si>
    <t>Meeting Expenses</t>
  </si>
  <si>
    <t>Office Expenses</t>
  </si>
  <si>
    <t>Postage</t>
  </si>
  <si>
    <t>Professional Charges</t>
  </si>
  <si>
    <t>Repairs &amp; Maintenance</t>
  </si>
  <si>
    <t>Short term loan interest</t>
  </si>
  <si>
    <t>Staff Welfare Expenses</t>
  </si>
  <si>
    <t>Sweeping Charges</t>
  </si>
  <si>
    <t>Deposit - NCD</t>
  </si>
  <si>
    <t>Deposit - Sub Debt</t>
  </si>
  <si>
    <t>SBL</t>
  </si>
  <si>
    <t>Interest Paid</t>
  </si>
  <si>
    <t>Stamp Paper &amp; Revenue</t>
  </si>
  <si>
    <t>Incentive Collection</t>
  </si>
  <si>
    <t>Room Rent Expenses</t>
  </si>
  <si>
    <t>Labour Office Charges</t>
  </si>
  <si>
    <t>Marketing Expenses</t>
  </si>
  <si>
    <t>Short term Loan Interest</t>
  </si>
  <si>
    <t xml:space="preserve">Staff Walfare </t>
  </si>
  <si>
    <t>Change in Financial liabilities</t>
  </si>
  <si>
    <t>Year Ended 31.03.2024</t>
  </si>
  <si>
    <t>Year ended
March 31, 2024</t>
  </si>
  <si>
    <t>As on 31/03/2024</t>
  </si>
  <si>
    <t>For FY 2023-24</t>
  </si>
  <si>
    <t>Audit fee</t>
  </si>
  <si>
    <t>Opening provision</t>
  </si>
  <si>
    <t>current yea loan</t>
  </si>
  <si>
    <t>Pvs for std asset-current year</t>
  </si>
  <si>
    <t>Provision tobe booked current year</t>
  </si>
  <si>
    <t>Bad debts proviosion</t>
  </si>
  <si>
    <t>Short term loan interest payable</t>
  </si>
  <si>
    <t>(a) </t>
  </si>
  <si>
    <t>(b) </t>
  </si>
  <si>
    <t>Short Term Loan interest Payable</t>
  </si>
  <si>
    <t>Provision for doubtful debts</t>
  </si>
  <si>
    <t>Provision for tax</t>
  </si>
  <si>
    <t>Profit before tax</t>
  </si>
  <si>
    <t>tax rate</t>
  </si>
  <si>
    <t>Current tax</t>
  </si>
  <si>
    <t>Short term Advance</t>
  </si>
  <si>
    <t>Water Charge</t>
  </si>
  <si>
    <t>GOLD CLOSING CHARGES</t>
  </si>
  <si>
    <t>Interest on GL</t>
  </si>
  <si>
    <t>Interest on GNL</t>
  </si>
  <si>
    <t>Interest on MFP</t>
  </si>
  <si>
    <t>Interest on VL</t>
  </si>
  <si>
    <t>STAMP CHARGE</t>
  </si>
  <si>
    <t>ESAF - FD</t>
  </si>
  <si>
    <t>SOUTH INDIAN BANK</t>
  </si>
  <si>
    <t>Deferred tax Liability</t>
  </si>
  <si>
    <t>Express Gold Loan</t>
  </si>
  <si>
    <t>Express Personal Loan</t>
  </si>
  <si>
    <t>Flexi Loan</t>
  </si>
  <si>
    <t>General Loan</t>
  </si>
  <si>
    <t>Gold Loan</t>
  </si>
  <si>
    <t>Vehicle Loan</t>
  </si>
  <si>
    <t>LOAN FROM ENTE NAADU MULTI STATE</t>
  </si>
  <si>
    <t>BRANCH/DIVISION</t>
  </si>
  <si>
    <t xml:space="preserve">GST </t>
  </si>
  <si>
    <t>Prov for sub-std asset</t>
  </si>
  <si>
    <t>Provision to be booked current year</t>
  </si>
  <si>
    <t>Current year loan</t>
  </si>
  <si>
    <t>Anilkumar</t>
  </si>
  <si>
    <t>Interest Accrued</t>
  </si>
  <si>
    <t>Short Term Loan</t>
  </si>
  <si>
    <t>INSURANCE POLICY</t>
  </si>
  <si>
    <t>INCENTIVE FOR PRODUCT</t>
  </si>
  <si>
    <t>INTEREST FOR ENTE NAADU MULTI STATE</t>
  </si>
  <si>
    <t>Interest on EGL</t>
  </si>
  <si>
    <t>Interest on EPL</t>
  </si>
  <si>
    <t>Electrical equipments</t>
  </si>
  <si>
    <t>Inaguration exp.</t>
  </si>
  <si>
    <t>Social Security Charge Received</t>
  </si>
  <si>
    <t>Total (Previous Period)</t>
  </si>
  <si>
    <t>As at 01.04.2024</t>
  </si>
  <si>
    <t>As at 
01.04.2024</t>
  </si>
  <si>
    <t>Product Income receivable</t>
  </si>
  <si>
    <t>Income from other sources</t>
  </si>
  <si>
    <t>Gold Closing Charges</t>
  </si>
  <si>
    <t>Interest receivable</t>
  </si>
  <si>
    <t>Interest Accrued-NC</t>
  </si>
  <si>
    <t>INTEREST ON RFSL</t>
  </si>
  <si>
    <t>Other current assets</t>
  </si>
  <si>
    <t>Subdebt liabilities</t>
  </si>
  <si>
    <t>Profit before Tax</t>
  </si>
  <si>
    <t>loans</t>
  </si>
  <si>
    <t>loan product</t>
  </si>
  <si>
    <t xml:space="preserve">LOAN TO RFSL </t>
  </si>
  <si>
    <t>Branding Charges</t>
  </si>
  <si>
    <t>Documentation Charges</t>
  </si>
  <si>
    <t>Business Loan</t>
  </si>
  <si>
    <t>Consumer durable loan</t>
  </si>
  <si>
    <t>loan-JLG</t>
  </si>
  <si>
    <t>Branding charges receivable</t>
  </si>
  <si>
    <t>CIBIL charges payable</t>
  </si>
  <si>
    <t>Hospi Cash</t>
  </si>
  <si>
    <t>Interest Accrued-Subdebt</t>
  </si>
  <si>
    <t>Facilitation charges receivable</t>
  </si>
  <si>
    <t>Staff Insurance</t>
  </si>
  <si>
    <t>ESI Employer contribution</t>
  </si>
  <si>
    <t>PF Employer contribution</t>
  </si>
  <si>
    <t>Electrical Fittings</t>
  </si>
  <si>
    <t xml:space="preserve">Facilitation charges </t>
  </si>
  <si>
    <t>ESI Payable</t>
  </si>
  <si>
    <t>PF Payable</t>
  </si>
  <si>
    <t>CGST</t>
  </si>
  <si>
    <t>SGST</t>
  </si>
  <si>
    <t>Suspense</t>
  </si>
  <si>
    <t>Branding charges</t>
  </si>
  <si>
    <t>Documentation charges</t>
  </si>
  <si>
    <t>Interest Accrued-NCD and Sub Debt</t>
  </si>
  <si>
    <t>(e)</t>
  </si>
  <si>
    <t>For Year March 31st, 2024</t>
  </si>
  <si>
    <t xml:space="preserve">                   -  </t>
  </si>
  <si>
    <t xml:space="preserve">                    -  </t>
  </si>
  <si>
    <t>Other Equity for Period ended 31 March, 2024</t>
  </si>
  <si>
    <t>Other Current assets</t>
  </si>
  <si>
    <t>NPA</t>
  </si>
  <si>
    <t>Nivabupa Receivable</t>
  </si>
  <si>
    <t>Incentive Payable</t>
  </si>
  <si>
    <t>Interest on BL</t>
  </si>
  <si>
    <t>Interest on RFCL</t>
  </si>
  <si>
    <t>Interest on RPL</t>
  </si>
  <si>
    <t>Fixed Asset from AXIVA</t>
  </si>
  <si>
    <t>Penal Interest on</t>
  </si>
  <si>
    <t>Fixed Deposit</t>
  </si>
  <si>
    <t>KLM Axiva</t>
  </si>
  <si>
    <t>Pvt NCD-2</t>
  </si>
  <si>
    <t>Pvt NCD-3</t>
  </si>
  <si>
    <t>Personal loan-PRAGATHI</t>
  </si>
  <si>
    <t>1-Apr-2024 to 31-March-2025</t>
  </si>
  <si>
    <t>Richfield Financial Services Ltd- Indas 31.03.2025</t>
  </si>
  <si>
    <t>As at 31st March 2025</t>
  </si>
  <si>
    <t>As at March 31 2025</t>
  </si>
  <si>
    <t>Fixed deposits</t>
  </si>
  <si>
    <t>As at March 31st, 2025</t>
  </si>
  <si>
    <t>Incentive payable</t>
  </si>
  <si>
    <t xml:space="preserve"> BALANCE SHEET AS ON 31st March, 2025</t>
  </si>
  <si>
    <t xml:space="preserve"> PROFIT AND LOSS FOR THE PERIOD ENDED 31st March, 2025</t>
  </si>
  <si>
    <t>As at 31.03.2025</t>
  </si>
  <si>
    <t>For the period ended 31.03.2025</t>
  </si>
  <si>
    <t xml:space="preserve"> Cash Flow Statement For the Period Ended 31st March, 2025</t>
  </si>
  <si>
    <t>Period Ended 31.03.2025</t>
  </si>
  <si>
    <t>Balance as at Mar 31st, 2025</t>
  </si>
  <si>
    <t>Other Equity for period ended Mar 31st 2025</t>
  </si>
  <si>
    <t>As at March 31  2024</t>
  </si>
  <si>
    <t xml:space="preserve">The Major Components of Deferred Tax Assets and Liabilities as at Mar 31, 2025 are as follows:  </t>
  </si>
  <si>
    <t>As at 31st March, 2025</t>
  </si>
  <si>
    <t>Period ended
31st March, 2025</t>
  </si>
  <si>
    <t>As at March 31, 2025</t>
  </si>
  <si>
    <t xml:space="preserve">For FY 2024-25 </t>
  </si>
  <si>
    <t xml:space="preserve">The Major Components of Deferred Tax Assets and Liabilities as at March 31, 2024 are as follows:  </t>
  </si>
  <si>
    <t>Less: transfer to share capital</t>
  </si>
  <si>
    <t>Deletion during the year</t>
  </si>
  <si>
    <t>Total Provision (liability)</t>
  </si>
  <si>
    <t xml:space="preserve">Provision for doubtful debt </t>
  </si>
  <si>
    <t>Provision for audit fee</t>
  </si>
  <si>
    <t>Provision for tax to be created after finalising the profit</t>
  </si>
  <si>
    <t>Reserves and surplus debit balance shown . Explain the nature Rs.</t>
  </si>
  <si>
    <t>NPA details needed to correct the provision</t>
  </si>
  <si>
    <t>bank balance confirmation requried</t>
  </si>
  <si>
    <t>Branch division differnce shown</t>
  </si>
  <si>
    <t>this item shown in current liability what is the nature of item</t>
  </si>
  <si>
    <t>computation of provision for interest: subdebt and ncd , loan</t>
  </si>
  <si>
    <t>nature of transaction</t>
  </si>
  <si>
    <t>Issue of Equity shares during the year</t>
  </si>
  <si>
    <t>Incentive for products</t>
  </si>
  <si>
    <t>Insurance</t>
  </si>
  <si>
    <t>Reduction of securitis premium what about 400 shown</t>
  </si>
  <si>
    <t>Branding charges receivable what nature of income</t>
  </si>
  <si>
    <t>loan disbursment on cash 20000 and above</t>
  </si>
  <si>
    <t>share holding details ( changes during current year)</t>
  </si>
  <si>
    <t>Provision for audit fee add in trial balance 100000 and expense increased</t>
  </si>
  <si>
    <t>Details of divident issued</t>
  </si>
  <si>
    <t>Total divident paid</t>
  </si>
  <si>
    <t>from were the fund deducted ( eg : security premium, retained earnings etc)</t>
  </si>
  <si>
    <t>Transfer for Bonous share</t>
  </si>
  <si>
    <t>Transfer for Dividend</t>
  </si>
  <si>
    <t>created for 10% for npa</t>
  </si>
  <si>
    <t>dividnd paid</t>
  </si>
  <si>
    <t>redced from general reseve</t>
  </si>
  <si>
    <t>provided</t>
  </si>
  <si>
    <t>Sub Debt</t>
  </si>
  <si>
    <t>Non Convertible Debentures</t>
  </si>
  <si>
    <t>Gold loan</t>
  </si>
  <si>
    <t>Personal loan</t>
  </si>
  <si>
    <t>personal loan</t>
  </si>
  <si>
    <t>microfinance</t>
  </si>
  <si>
    <t>other loans</t>
  </si>
  <si>
    <t>ok</t>
  </si>
  <si>
    <t>Microfinance loan</t>
  </si>
  <si>
    <t>Other loans</t>
  </si>
  <si>
    <t xml:space="preserve">Unclaimed Dividend </t>
  </si>
  <si>
    <t>CMOS PAYABLE</t>
  </si>
  <si>
    <t>Unclaimed Dividend Account</t>
  </si>
  <si>
    <t>CMOS Payable</t>
  </si>
  <si>
    <t xml:space="preserve">currently shown loss </t>
  </si>
  <si>
    <t>Administrate expense</t>
  </si>
  <si>
    <t>Total expense</t>
  </si>
  <si>
    <t>expenses</t>
  </si>
  <si>
    <t>Defferment</t>
  </si>
  <si>
    <t>Marketing (sub doubts incentives for five years)</t>
  </si>
  <si>
    <t>Tobe deffered( Share capital increase)</t>
  </si>
  <si>
    <t>Advertisement</t>
  </si>
  <si>
    <t>Defferement</t>
  </si>
  <si>
    <t>Expense</t>
  </si>
  <si>
    <t>Deffered/Prepaid expense</t>
  </si>
  <si>
    <t>Add:  transfer from Securities premium</t>
  </si>
  <si>
    <t>Current tax expense</t>
  </si>
  <si>
    <t>As on 31/03/2025</t>
  </si>
  <si>
    <t>Company doesnot have any capital work in progress for the year ended on 31-03-2025.</t>
  </si>
  <si>
    <t>Company doesnot have any intangible work in progress for the year ended on 31-03-2025.</t>
  </si>
  <si>
    <t>Company was not declared as a willful defaulter for the year ended 31-03-2025</t>
  </si>
  <si>
    <t>Company doesn’t have share premium as on 31/03/2025</t>
  </si>
  <si>
    <t xml:space="preserve">There are no undisclosed incomes for the year 31-03-2024 and the company has not received any demand notices from the income tax autority regarding the same for the previous year </t>
  </si>
  <si>
    <t>Company doesn’t require to create a CSR reserve or carry out any CSR activity for the year on 31/03/2025</t>
  </si>
  <si>
    <t>Contingent provision against Stage 1 assets</t>
  </si>
  <si>
    <t>Contingent provision against Stage 3 assets</t>
  </si>
  <si>
    <t>Company has not indulged itself in any crypto currency/ virtual currency transactions for the year ended on 31/03/2025</t>
  </si>
  <si>
    <t>Company doesn’t have any subsidiaries or holding company or associate relationship as on 31/03/2025</t>
  </si>
  <si>
    <t xml:space="preserve">Company has not revalued any assets for the year ended 31-03-2025, </t>
  </si>
  <si>
    <t>Note: 3b</t>
  </si>
  <si>
    <t>Bank Balance other than (b) above</t>
  </si>
  <si>
    <t>Bank Balance other than Cash and cash Equivalents</t>
  </si>
  <si>
    <t>Chartered Accountants</t>
  </si>
  <si>
    <t>Firm registration No: 007220S</t>
  </si>
  <si>
    <t>CA Jobin George, FCA</t>
  </si>
  <si>
    <t>Partner</t>
  </si>
  <si>
    <t>Membership No: 236710</t>
  </si>
  <si>
    <t>Place: Kochi</t>
  </si>
  <si>
    <t>Date: 28-05-2025</t>
  </si>
  <si>
    <t>Roopamol KS</t>
  </si>
  <si>
    <t>Nandu Chandra Mohan - Company Secretary</t>
  </si>
  <si>
    <t>Priyanka Kalra  - Company Secretary ( Resigned on 05/12/2024)</t>
  </si>
  <si>
    <t>Nandu Chandra Mohan - Company Secretary( Resigned on 13/01/2025)</t>
  </si>
  <si>
    <r>
      <t xml:space="preserve">For </t>
    </r>
    <r>
      <rPr>
        <b/>
        <sz val="12"/>
        <color rgb="FF000000"/>
        <rFont val="Cambria"/>
        <family val="1"/>
      </rPr>
      <t>A. John Moris &amp; Co</t>
    </r>
    <r>
      <rPr>
        <sz val="12"/>
        <color rgb="FF000000"/>
        <rFont val="Cambria"/>
        <family val="1"/>
      </rPr>
      <t>,</t>
    </r>
  </si>
  <si>
    <t>Non Financial Assets</t>
  </si>
  <si>
    <t xml:space="preserve"> LIABILITIES AND EQUITY </t>
  </si>
  <si>
    <t>Non Financial Liabilities</t>
  </si>
  <si>
    <t>14(a)</t>
  </si>
  <si>
    <t>14(b)</t>
  </si>
  <si>
    <t>19(i)</t>
  </si>
  <si>
    <t>19(ii)</t>
  </si>
  <si>
    <r>
      <t>The Company was incorporated on 16th day of April, 1992 vide Corporate Identity No. L65999WB1992PLC055224 with the object to carry on the business of Finance and Investment in Shares and Securities</t>
    </r>
    <r>
      <rPr>
        <sz val="11"/>
        <color indexed="10"/>
        <rFont val="Cambria"/>
        <family val="1"/>
      </rPr>
      <t>.</t>
    </r>
  </si>
  <si>
    <r>
      <rPr>
        <b/>
        <sz val="11"/>
        <rFont val="Cambria"/>
        <family val="1"/>
      </rPr>
      <t xml:space="preserve">Statement of compliance </t>
    </r>
    <r>
      <rPr>
        <sz val="11"/>
        <rFont val="Cambria"/>
        <family val="1"/>
      </rPr>
      <t xml:space="preserve">
In accordance with the notification issued by the Ministry of Corporate Affairs, the Company has adopted Indian Accounting Standards (referred to as “Ind AS”) notified under the Companies (Indian Accounting Standards) Rules, 2015. The Company has adopted Ind AS from April 1, 2019 with effective transition date as April 1, 2018. These financial statements have been prepared in accordance with Ind AS as notified under the Companies (Indian Accounting Standards) Rules, 2015 read with Section 133 of the Companies Act, 2013 (the “Act”). The transition was carried out from Accounting Principles generally accepted in India as prescribed under Section 133 of the Act, read with Rule 7 of the Companies (Accounts) Rules, 2014 (“IGAAP” or “previous GAAP”).</t>
    </r>
  </si>
  <si>
    <r>
      <rPr>
        <b/>
        <sz val="11"/>
        <color indexed="8"/>
        <rFont val="Cambria"/>
        <family val="1"/>
      </rPr>
      <t xml:space="preserve">Presentation of financial statements </t>
    </r>
    <r>
      <rPr>
        <sz val="11"/>
        <color indexed="8"/>
        <rFont val="Cambria"/>
        <family val="1"/>
      </rPr>
      <t xml:space="preserve">
The Balance Sheet, Statement of Profit and Loss (including other comprehensive income) and Statement of changes in Equity are prepared and presented in the format prescribed in the Division III of Schedule III to the Companies Act, 2013 (“the Act”). The Statement of Cash Flows has been prepared and presented as per the requirements of Ind AS. Amounts in the financial statements are presented in Indian Rupees.</t>
    </r>
  </si>
  <si>
    <r>
      <rPr>
        <b/>
        <sz val="11"/>
        <color indexed="8"/>
        <rFont val="Cambria"/>
        <family val="1"/>
      </rPr>
      <t xml:space="preserve">Measurement of fair values: </t>
    </r>
    <r>
      <rPr>
        <sz val="11"/>
        <color indexed="8"/>
        <rFont val="Cambria"/>
        <family val="1"/>
      </rPr>
      <t xml:space="preserve">
Fair value is the price that would be received to sell an asset or paid to transfer a liability in an orderly transaction between market participants at the measurement date, regardless of whether that price is directly observable or estimated using another valuation technique. </t>
    </r>
  </si>
  <si>
    <r>
      <rPr>
        <b/>
        <sz val="11"/>
        <color indexed="8"/>
        <rFont val="Cambria"/>
        <family val="1"/>
      </rPr>
      <t>Judgements:</t>
    </r>
    <r>
      <rPr>
        <sz val="11"/>
        <color indexed="8"/>
        <rFont val="Cambria"/>
        <family val="1"/>
      </rPr>
      <t xml:space="preserve">
 Information about judgements made in applying accounting policies that have a most significant effect on the amount recognised in the financial statements is included following Notes:
             -classification of financial assets: assessment of the business model within which the assets are held and  assessment of whether the contractual terms of the financial asset are solely payments of principal and interest on the principal amount outstanding.</t>
    </r>
  </si>
  <si>
    <r>
      <rPr>
        <b/>
        <sz val="11"/>
        <color indexed="8"/>
        <rFont val="Cambria"/>
        <family val="1"/>
      </rPr>
      <t>Assumptions and estimation uncertainties</t>
    </r>
    <r>
      <rPr>
        <sz val="11"/>
        <color indexed="8"/>
        <rFont val="Cambria"/>
        <family val="1"/>
      </rPr>
      <t xml:space="preserve">
Information about assumptions and estimation uncertainties that have a significant risk of resulting in a material adjustment during the year ending March 31, 2025 is included in the following Notes: - 
Note (9) - useful life of property, plant, equipment and intangibles.  
Note (8) - recognition of deferred tax assets: availability of future taxable profit against which carry forward deferred tax asset can be set off. 
Note (21) - determination of the fair value of financial instruments with significant unobservable inputs.</t>
    </r>
  </si>
  <si>
    <r>
      <rPr>
        <b/>
        <sz val="11"/>
        <color indexed="8"/>
        <rFont val="Cambria"/>
        <family val="1"/>
      </rPr>
      <t>Interest</t>
    </r>
    <r>
      <rPr>
        <sz val="11"/>
        <color indexed="8"/>
        <rFont val="Cambria"/>
        <family val="1"/>
      </rPr>
      <t xml:space="preserve"> 
Interest consists of consideration for (i) the time value of money; (ii) for the credit risk associated with the principal amount outstanding;(iii) for other basic lending risks and costs; and (iv) profit margin.
Interest income and expense are recognised using the effective interest method. The effective interest rate (EIR) is the rate that exactly discounts estimated future cash flows through the expected life of the financial instrument to the gross carrying amount of the financial asset or amortised cost of the financial liability.
The calculation of the EIR includes all fees paid or received that are incremental and directly attributable to the acquisition or issue of a financial asset or liability.
The interest income is calculated by applying the EIR to the gross carrying amount of noncredit impaired financial assets (i.e. at the amortised cost of the financial asset before adjusting for any expected credit loss allowance). For credit-impaired financial assets the interest income is calculated by applying the EIR to the amortised cost of the creditimpaired financial assets (i.e. at the amortised cost of the financial asset after adjusting for any expected credit loss allowance (ECLs)). The Company assesses the collectability of the interest on credit impaired assets at each reporting date. Based on the outcome of such assessment, the interest income accrued on credit impaired financial assets are either accounted for as income or written off as per the write off policy of the Company.
The interest cost is calculated by applying the EIR to the amortised cost of the financial liability. 
The ‘amortised cost’ of a financial asset or financial liability is the amount at which the financial asset or financial liability is measured on initial recognition minus the principal repayments, plus or minus the cumulative amortisation using the effective interest method of any difference between that initial amount and the maturity amount and, for financial assets, adjusted for any expected credit loss allowance. 
The ‘gross carrying amount of a financial asset’ is the amortised cost of a financial asset before adjusting for any expected credit loss allowance.</t>
    </r>
  </si>
  <si>
    <r>
      <rPr>
        <b/>
        <sz val="11"/>
        <color indexed="8"/>
        <rFont val="Cambria"/>
        <family val="1"/>
      </rPr>
      <t xml:space="preserve">Dividend Income </t>
    </r>
    <r>
      <rPr>
        <sz val="11"/>
        <color indexed="8"/>
        <rFont val="Cambria"/>
        <family val="1"/>
      </rPr>
      <t xml:space="preserve">
Income from dividend on investment in equity and preference shares of corporate bodies and units of mutual funds are accounted when received or on accrual basis when such dividends have been declared by the corporate bodies in their annual general meetings and the CIC’s right to receive payment is established.</t>
    </r>
  </si>
  <si>
    <r>
      <rPr>
        <b/>
        <sz val="11"/>
        <rFont val="Cambria"/>
        <family val="1"/>
      </rPr>
      <t>Financial Instruments</t>
    </r>
    <r>
      <rPr>
        <sz val="11"/>
        <rFont val="Cambria"/>
        <family val="1"/>
      </rPr>
      <t xml:space="preserve">
Financial assets and financial liabilities are recognised in the Company’s balance sheet on trade date when the Company becomes a party to the contractual provisions of the instrument. A loan is recorded upon remittance of the funds to the counterparty/obligor. Recognised financial assets and financial liabilities are initially measured at fair value. Transaction costs and revenues that are directly attributable to the acquisition or issue of financial assets and financial liabilities (other than financial assets and financial liabilities at Fair Value Through Profit and Loss (“FVTPL”) are added to or deducted from the fair value of the financial assets or financial liabilities, as appropriate, on initial recognition. Transaction costs and revenues directly attributable to the acquisition of financial assets or financial liabilities at FVTPL are recognised immediately in the statement of profit or loss. 
If the transaction price differs from fair value at initial recognition, the Company will account for such difference as follows: 
a) if fair value is evidenced by a quoted price in an active market for an identical asset or liability or based on a valuation technique that uses only data from observable markets, then the difference is recognised in profit or loss on initial recognition (i.e. day 1 profit or loss);
b) in all other cases, the fair value will be adjusted to bring it in line with the transaction price (i.e. day 1 profit or loss will be deferred by including it in the initial carrying amount of the asset or liability). 
After initial recognition, the deferred gain or loss will be realised to profit or loss on a rational basis, only to the extent that it arises from a change in a factor (including time) that market participants would take into account when pricing the asset or liability.</t>
    </r>
  </si>
  <si>
    <r>
      <rPr>
        <b/>
        <sz val="11"/>
        <color indexed="8"/>
        <rFont val="Cambria"/>
        <family val="1"/>
      </rPr>
      <t>Classification</t>
    </r>
    <r>
      <rPr>
        <sz val="11"/>
        <color indexed="8"/>
        <rFont val="Cambria"/>
        <family val="1"/>
      </rPr>
      <t xml:space="preserve"> 
On initial recognition, depending on the Company’s business model for managing the financial assets and its contractual cash flow characteristics, a financial asset is classified as measured at:
1) amortised cost; 
2) fair value through other comprehensive income (FVTOCI); or 
3) fair value through profit and loss (FVTPL).</t>
    </r>
  </si>
  <si>
    <r>
      <rPr>
        <b/>
        <sz val="11"/>
        <color indexed="8"/>
        <rFont val="Cambria"/>
        <family val="1"/>
      </rPr>
      <t>Initial recognition and measurement</t>
    </r>
    <r>
      <rPr>
        <sz val="11"/>
        <color indexed="8"/>
        <rFont val="Cambria"/>
        <family val="1"/>
      </rPr>
      <t xml:space="preserve">
A financial asset is recognised on trade date initially at cost of acquisition net of transaction cost and income that is attributable to the acquisition of the financial asset. Cost equates the fair value on acquisition. A financial asset measured at amortised cost and a financial asset measured at fair value through other comprehensive income is presented at gross carrying value in the Financial Statements. Unamortised transaction cost and incomes and impairment allowance on financial asset is shown separately under the heading “Other non-financial asset”, “Other non-financial liability” and “Provisions” respectively.</t>
    </r>
  </si>
  <si>
    <r>
      <rPr>
        <b/>
        <sz val="11"/>
        <color indexed="8"/>
        <rFont val="Cambria"/>
        <family val="1"/>
      </rPr>
      <t xml:space="preserve">Assessment of Business model 
</t>
    </r>
    <r>
      <rPr>
        <sz val="11"/>
        <color indexed="8"/>
        <rFont val="Cambria"/>
        <family val="1"/>
      </rPr>
      <t xml:space="preserve">An assessment of the applicable business model for managing financial assets is fundamental to the classification of a financial asset. The Company determines the business models at a level that reflects how financial assets are managed together to achieve a particular business objective. The Company’s business model does not depend on management’s intentions for an individual instrument, therefore the business model assessment is performed at a higher level of aggregation rather than on an instrument-by-instrument basis. The Company could have more than one business model for managing its financial instruments which reflect how the Company manages its financial assets in order to generate cash flows. The Company’s business models determine whether cash flows will result from collecting contractual cash flows, selling financial assets or both. The Company considers all relevant information available when making the business model assessment. The Company takes into account all relevant evidence available such as: 
1) how the performance of the business model and the financial assets held within that business model are evaluated and reported to the entity’s key management personnel and board of directors; 
2) the risks that affect the performance of the business model (and the financial assets held within that business model) and, in particular, the way in which those risks are managed; and 
3) how managers of the business are compensated (e.g. whether the compensation is based on the fair value of the assets managed or on the contractual cash flows collected). 
4) At initial recognition of a financial asset, the Company determines whether newly recognised financial assets are part of an existing business model or whether they reflect the commencement of a new business model. The Company reassesses its business models at each reporting period to determine whether the business model/(s) have changed since the preceding period. For the current and prior reporting period the Company has not identified a change in its business model. </t>
    </r>
  </si>
  <si>
    <r>
      <t>Based on the assessment of the business models, the Company has identified the three following choices of classification of financial assets: 
a) Financial assets that are held within a business model whose objective is to collect the contractual cash flows (“Asset held to collect contractual cash-flows”), and that have contractual cash flows that are solely payments of principal and interest on the principal amount outstanding (SPPI), are measured at</t>
    </r>
    <r>
      <rPr>
        <b/>
        <sz val="11"/>
        <color indexed="8"/>
        <rFont val="Cambria"/>
        <family val="1"/>
      </rPr>
      <t xml:space="preserve"> amortised cost</t>
    </r>
    <r>
      <rPr>
        <sz val="11"/>
        <color indexed="8"/>
        <rFont val="Cambria"/>
        <family val="1"/>
      </rPr>
      <t>; 
b) Financial assets that are held within a business model whose objective is both to collect the contractual cash flows and to sell the assets, (“Contractual cash flows of Asset collected through hold and sell model”) and that have contractual cash flows that are SPPI, are subsequently measured at</t>
    </r>
    <r>
      <rPr>
        <b/>
        <sz val="11"/>
        <color indexed="8"/>
        <rFont val="Cambria"/>
        <family val="1"/>
      </rPr>
      <t xml:space="preserve"> FVTOCI</t>
    </r>
    <r>
      <rPr>
        <sz val="11"/>
        <color indexed="8"/>
        <rFont val="Cambria"/>
        <family val="1"/>
      </rPr>
      <t xml:space="preserve">. 
c) All other financial assets (e.g. managed on a fair value basis, or held for sale) and equity investments are subsequently measured at </t>
    </r>
    <r>
      <rPr>
        <b/>
        <sz val="11"/>
        <color indexed="8"/>
        <rFont val="Cambria"/>
        <family val="1"/>
      </rPr>
      <t>FVTPL</t>
    </r>
    <r>
      <rPr>
        <sz val="11"/>
        <color indexed="8"/>
        <rFont val="Cambria"/>
        <family val="1"/>
      </rPr>
      <t>.</t>
    </r>
  </si>
  <si>
    <r>
      <rPr>
        <b/>
        <sz val="11"/>
        <color indexed="8"/>
        <rFont val="Cambria"/>
        <family val="1"/>
      </rPr>
      <t>Financial asset at amortised cost</t>
    </r>
    <r>
      <rPr>
        <sz val="11"/>
        <color indexed="8"/>
        <rFont val="Cambria"/>
        <family val="1"/>
      </rPr>
      <t xml:space="preserve">
Amortised cost of financial asset is calculated by taking into account any discount or premium on acquisition and fees or costs that are an integral part of the EIR. For the purpose of testing SPPI, principal is the fair value of the financial asset at initial recognition. That principal amount may change over the life of the financial asset (e.g. if there are repayments of principal). Contractual cash flows that do not introduce exposure to risks or volatility in the contractual cash flows on account of changes such as equity prices or commodity prices and are related to a basic lending arrangement, do give rise to SPPI. An originated or an acquired financial asset can be a basic lending arrangement irrespective of whether it is a loan in its legal form.
The EIR amortisation is included in finance income in the profit and loss statement. The losses arising from impairment are recognised in the profit and loss statement.</t>
    </r>
  </si>
  <si>
    <r>
      <rPr>
        <b/>
        <sz val="11"/>
        <color indexed="8"/>
        <rFont val="Cambria"/>
        <family val="1"/>
      </rPr>
      <t>Financial asset at Fair Value through Other Comprehensive Income (FVTOCI) 
Loans &amp; Advances:</t>
    </r>
    <r>
      <rPr>
        <sz val="11"/>
        <color indexed="8"/>
        <rFont val="Cambria"/>
        <family val="1"/>
      </rPr>
      <t xml:space="preserve">
After initial measurement, basis assessment of the business model as “Contractual cash flows of asset collected through hold and sell model and SPPI”, &amp; equity instruments such financial assets are classified to be measured at FVTOCI. Contractual cash flows that do introduce exposure to risks or volatility in the contractual cash flows due to changes such as equity prices or commodity prices and are unrelated to a basic lending arrangement, do not give rise to SPPI. The EIR amortisation is included in finance income in the profit and loss statement. The losses arising from impairment are recognised in the profit and loss statement. The carrying value of the financial asset is fair valued by discounting the contractual cash flows over contractual tenure basis the internal rate of return of a new similar asset originated in the month of reporting and such unrealised gain/loss is recorded in other comprehensive income (OCI). Where such a similar product is not originated in the month of reporting, the closest product origination is used as a proxy. Upon sale of the financial asset, actual gain/loss realised is recorded in the profit and loss statement and the unrealised gain/ loss recorded in OCI are recycled to the statement of profit and loss.
</t>
    </r>
    <r>
      <rPr>
        <b/>
        <sz val="11"/>
        <color indexed="8"/>
        <rFont val="Cambria"/>
        <family val="1"/>
      </rPr>
      <t>Investments in equity instruments:</t>
    </r>
    <r>
      <rPr>
        <sz val="11"/>
        <color indexed="8"/>
        <rFont val="Cambria"/>
        <family val="1"/>
      </rPr>
      <t xml:space="preserve">
At initial recognition an entity at its sole option may irrevocably designate an investment in an equity instrument as FVOCI, unless the asset is:
• Held for trading, or
• Contingent consideration in a business combination. 
Dividends are recognized when the entity’s right to receive payment is established, it is probable the economic benefits will flow to the entity and the amount can be measured reliably. Dividends are recognized in profit and loss unless they clearly represent recovery of a part of the cost of the investment, in which case they are included in OCI. Changes in fair value are recognized in OCI and are never recycled to profit and loss, even if the asset is sold or impaired.</t>
    </r>
  </si>
  <si>
    <r>
      <rPr>
        <b/>
        <sz val="11"/>
        <color indexed="8"/>
        <rFont val="Cambria"/>
        <family val="1"/>
      </rPr>
      <t xml:space="preserve">Financial asset at fair value through profit and loss (FVTPL) </t>
    </r>
    <r>
      <rPr>
        <sz val="11"/>
        <color indexed="8"/>
        <rFont val="Cambria"/>
        <family val="1"/>
      </rPr>
      <t xml:space="preserve">
Financial asset, which does not meet the criteria for categorization at amortized cost or FVTOCI, is classified as FVTPL. In addition, the Company may elect to classify a financial asset, which otherwise meets amortized cost or FVTOCI criteria, as FVTPL. However, such election is allowed only if doing so reduces or eliminates a measurement or recognition inconsistency (referred to as ‘accounting mismatch’). Financial assets included within the FVTPL category are measured at fair value with all changes recognized in the statement of profit and loss.</t>
    </r>
  </si>
  <si>
    <r>
      <rPr>
        <b/>
        <sz val="11"/>
        <color indexed="8"/>
        <rFont val="Cambria"/>
        <family val="1"/>
      </rPr>
      <t>Investment in equity, security receipt, mutual fund, non-cumulative redeemable preference shares and cumulative compulsorily convertible preference shares</t>
    </r>
    <r>
      <rPr>
        <sz val="11"/>
        <color indexed="8"/>
        <rFont val="Cambria"/>
        <family val="1"/>
      </rPr>
      <t xml:space="preserve"> 
Investment in equity, security receipt, mutual fund, non-cumulative redeemable preference shares and cumulative compulsorily convertible preference shares are classified as FVTPL and measured at fair value with all changes recognised in the statement of profit and loss. Upon initial recognition, the Company, on an instrument-by-instrument basis, may elect to classify equity instruments other than held for trading either as FVTOCI or FVTPL. Such election is subsequently irrevocable. If FVTOCI is elected, all fair value changes on the instrument, excluding dividends, are recognized in OCI. There is no recycling of the gains or losses from OCI to the statement of profit and loss, even upon sale of investment. However, the Company may transfer the cumulative gain or loss within other equity upon realisation.</t>
    </r>
  </si>
  <si>
    <r>
      <rPr>
        <b/>
        <sz val="11"/>
        <color indexed="8"/>
        <rFont val="Cambria"/>
        <family val="1"/>
      </rPr>
      <t xml:space="preserve">Reclassifications within classes of financial assets </t>
    </r>
    <r>
      <rPr>
        <sz val="11"/>
        <color indexed="8"/>
        <rFont val="Cambria"/>
        <family val="1"/>
      </rPr>
      <t xml:space="preserve">
A change in the business model would lead to a prospective re-classification of the financial asset and accordingly the measurement principles applicable to the new classification will be applied. During the current financial year and previous accounting period there was no change in the business model under which the Company holds financial assets and therefore no reclassifications were made.</t>
    </r>
  </si>
  <si>
    <r>
      <rPr>
        <b/>
        <sz val="11"/>
        <color indexed="8"/>
        <rFont val="Cambria"/>
        <family val="1"/>
      </rPr>
      <t xml:space="preserve">Modification of financial assets </t>
    </r>
    <r>
      <rPr>
        <sz val="11"/>
        <color indexed="8"/>
        <rFont val="Cambria"/>
        <family val="1"/>
      </rPr>
      <t xml:space="preserve">
A modification of a financial asset occurs when the contractual terms governing the cash flows of a financial asset are renegotiated or otherwise modified between initial recognition and maturity of the financial asset. A modification affects the amount and/or timing of the contractual cash flows either immediately or at a future date. The Company renegotiates loans to customers in financial difficulty to maximise collection and minimise the risk of default. A loan forbearance is granted in cases where although the borrower made all reasonable efforts to pay under the original contractual terms, there is a high risk of default or default has already happened and the borrower is expected to be able to meet the revised terms. The revised terms in most of the cases include an extension of the maturity of the loan, changes to the timing of the cash flows of the loan (principal and interest repayment), reduction in the amount of cash flows due (principal and interest forgiveness). Such accounts are classified as Stage 3 immediately upon such modification in the terms of the contract. 
Not all changes in terms of loans are considered as renegotiation and changes in terms of a class of obligors that are not overdue is not considered as renegotiation and is not subjected to deterioration in staging.</t>
    </r>
  </si>
  <si>
    <r>
      <rPr>
        <b/>
        <sz val="11"/>
        <color indexed="8"/>
        <rFont val="Cambria"/>
        <family val="1"/>
      </rPr>
      <t>Write-off</t>
    </r>
    <r>
      <rPr>
        <sz val="11"/>
        <color indexed="8"/>
        <rFont val="Cambria"/>
        <family val="1"/>
      </rPr>
      <t xml:space="preserve"> 
Impaired loans and receivables are written off, against the related allowance for loan impairment on completion of the Company’s internal processes and when the Company concludes that there is no longer any realistic prospect of recovery of part or all of the loan. For loans that are individually assessed for impairment, the timing of write off is determined on a case by case basis. A write-off constitutes a de-recognition event. The Company has right to apply enforcement activities to recover such written off financial assets. Subsequent recoveries of amounts previously written off are credited to the Statement of Profit and Loss.</t>
    </r>
  </si>
  <si>
    <r>
      <rPr>
        <b/>
        <sz val="11"/>
        <color indexed="8"/>
        <rFont val="Cambria"/>
        <family val="1"/>
      </rPr>
      <t>Financial liabilities</t>
    </r>
    <r>
      <rPr>
        <sz val="11"/>
        <color indexed="8"/>
        <rFont val="Cambria"/>
        <family val="1"/>
      </rPr>
      <t xml:space="preserve"> 
A financial liability is a contractual obligation to deliver cash or another financial asset or to exchange financial assets or financial liabilities with another entity under conditions that are potentially unfavourable to the Company or a contract that will or may be settled in the Company’s own equity instruments and is a non-derivative contract for which the Company is or may be obliged to deliver a variable number of its own equity instruments, or a derivative contract over own equity that will or may be settled other than by the exchange of a fixed amount of cash (or another financial asset) for a fixed number of the Company’s own equity instruments.</t>
    </r>
  </si>
  <si>
    <r>
      <rPr>
        <b/>
        <sz val="11"/>
        <color indexed="8"/>
        <rFont val="Cambria"/>
        <family val="1"/>
      </rPr>
      <t>Classification</t>
    </r>
    <r>
      <rPr>
        <sz val="11"/>
        <color indexed="8"/>
        <rFont val="Cambria"/>
        <family val="1"/>
      </rPr>
      <t xml:space="preserve">
The Company classifies its financial liability as “Financial liability at amortised cost” except for financial liability at Fair Value through Profit and Loss (FVTPL).</t>
    </r>
  </si>
  <si>
    <r>
      <rPr>
        <b/>
        <sz val="11"/>
        <color indexed="8"/>
        <rFont val="Cambria"/>
        <family val="1"/>
      </rPr>
      <t>Initial recognition and measurement</t>
    </r>
    <r>
      <rPr>
        <sz val="11"/>
        <color indexed="8"/>
        <rFont val="Cambria"/>
        <family val="1"/>
      </rPr>
      <t xml:space="preserve">
Financial liability is recognised initially at cost of acquisition net of transaction costs and incomes that is attributable to the acquisition of the financial liability. Cost equates the fair value on acquisition. Company may irrevocably designate a financial liability that meet the amortised cost as measured at FVTPL if doing so eliminates or significantly reduces an accounting mismatch (referred to as the fair value option).</t>
    </r>
  </si>
  <si>
    <r>
      <rPr>
        <b/>
        <sz val="11"/>
        <color indexed="8"/>
        <rFont val="Cambria"/>
        <family val="1"/>
      </rPr>
      <t>De-recognition of financial liabilities</t>
    </r>
    <r>
      <rPr>
        <sz val="11"/>
        <color indexed="8"/>
        <rFont val="Cambria"/>
        <family val="1"/>
      </rPr>
      <t xml:space="preserve">
 The Company derecognises financial liabilities when, and only when, the Company’s obligations are discharged, cancelled or have expired. The difference between the carrying amount of the financial liability derecognised and the consideration paid and payable is recognised in profit or loss.</t>
    </r>
  </si>
  <si>
    <r>
      <rPr>
        <b/>
        <sz val="11"/>
        <color indexed="8"/>
        <rFont val="Cambria"/>
        <family val="1"/>
      </rPr>
      <t xml:space="preserve">Equity 
</t>
    </r>
    <r>
      <rPr>
        <sz val="11"/>
        <color indexed="8"/>
        <rFont val="Cambria"/>
        <family val="1"/>
      </rPr>
      <t>An equity instrument is any contract that evidences a residual interest in the assets of an entity after deducting all of its liabilities. Equity instruments issued by the Company are recognised at the proceeds received, net of direct issue costs. A conversion option that will be settled by the exchange of a fixed amount of cash or another financial asset for a fixed number of the Company’s own equity instruments is an equity instrument. 
No gain/loss is recognised in profit or loss on the purchase, sale, issue or cancellation of the Company’s own equity instruments.</t>
    </r>
  </si>
  <si>
    <r>
      <rPr>
        <b/>
        <sz val="11"/>
        <color indexed="8"/>
        <rFont val="Cambria"/>
        <family val="1"/>
      </rPr>
      <t xml:space="preserve">(a) Tangible </t>
    </r>
    <r>
      <rPr>
        <sz val="11"/>
        <color indexed="8"/>
        <rFont val="Cambria"/>
        <family val="1"/>
      </rPr>
      <t xml:space="preserve">
Tangible property, plant and equipment (PPE) acquired by the Company are reported at acquisition cost less accumulated depreciation and accumulated impairment losses, if any. The acquisition cost includes any cost attributable for bringing asset to its working condition net of tax/duty credits availed, which comprises of purchase consideration, other directly attributable costs of bringing the assets to their working condition for their intended use. PPE is recognised when it is probable that future economic benefits associated with the item will flow to the Company and the cost of the item can be measured reliably.</t>
    </r>
  </si>
  <si>
    <r>
      <rPr>
        <b/>
        <sz val="11"/>
        <color indexed="8"/>
        <rFont val="Cambria"/>
        <family val="1"/>
      </rPr>
      <t>(b) Intangible</t>
    </r>
    <r>
      <rPr>
        <sz val="11"/>
        <color indexed="8"/>
        <rFont val="Cambria"/>
        <family val="1"/>
      </rPr>
      <t xml:space="preserve">
Intangible assets are recognised when it is probable that the future economic benefits that are attributable to the asset will flow to the enterprise and the cost of the asset can be measured reliably. Intangible assets are stated at original cost net of tax/duty credits availed, if any, less accumulated amortisation and cumulative impairment. Administrative and other general overhead expenses that are specifically attributable to acquisition of intangible assets are allocated and capitalised as a part of the cost of the intangible assets. Expenses on software support and maintenance are charged to the Statement of Profit and Loss during the year in which such costs are incurred.</t>
    </r>
  </si>
  <si>
    <r>
      <rPr>
        <b/>
        <sz val="11"/>
        <color indexed="8"/>
        <rFont val="Cambria"/>
        <family val="1"/>
      </rPr>
      <t>(d) De-recognition of property, plant and equipment and intangible asset</t>
    </r>
    <r>
      <rPr>
        <sz val="11"/>
        <color indexed="8"/>
        <rFont val="Cambria"/>
        <family val="1"/>
      </rPr>
      <t xml:space="preserve">
An item of PPE is derecognised upon disposal or when no future economic benefits are expected to arise from the continued use of the asset. Any gain or loss arising on the disposal or retirement of an item of property, plant and equipment is determined as the difference between the sales proceeds and the carrying amount of the asset and is recognised in the Statement of Profit or Loss. An intangible asset is derecognised on disposal, or when no future economic benefits are expected from use or disposal. Gains or losses arising from de-recognition of an intangible asset, measured as the difference between the net disposal proceeds and the carrying amount of the asset, are recognised in the Statement of Profit or Loss when the asset is derecognised.</t>
    </r>
  </si>
  <si>
    <r>
      <rPr>
        <b/>
        <sz val="11"/>
        <color indexed="8"/>
        <rFont val="Cambria"/>
        <family val="1"/>
      </rPr>
      <t>Income Tax</t>
    </r>
    <r>
      <rPr>
        <sz val="11"/>
        <color indexed="8"/>
        <rFont val="Cambria"/>
        <family val="1"/>
      </rPr>
      <t xml:space="preserve">
Income tax expense comprises current and deferred taxes. Income tax expense is recognized in the Statement of Profit and Loss, Other Comprehensive Income or directly in equity, when they relate to items that are recognised in the respective line items.</t>
    </r>
  </si>
  <si>
    <r>
      <rPr>
        <b/>
        <sz val="11"/>
        <color indexed="8"/>
        <rFont val="Cambria"/>
        <family val="1"/>
      </rPr>
      <t xml:space="preserve">Current Tax </t>
    </r>
    <r>
      <rPr>
        <sz val="11"/>
        <color indexed="8"/>
        <rFont val="Cambria"/>
        <family val="1"/>
      </rPr>
      <t xml:space="preserve">
Current tax comprises the expected tax payable or receivable on the taxable income or loss for the year and any adjustment to the tax payable or receivable in respect of previous years. The amount of current tax reflects the best estimate of the tax amount expected to be paid or received after considering the uncertainty, if any, related to income taxes. It is measured using tax rates (and tax laws) enacted or substantively enacted by the reporting date. Current tax asset and liabilities are offset only if there is a legally enforceable right to set off the recognised amounts and it is intended to realise the asset and settle the liability on a net basis or simultaneously.</t>
    </r>
  </si>
  <si>
    <r>
      <rPr>
        <b/>
        <sz val="11"/>
        <color indexed="8"/>
        <rFont val="Cambria"/>
        <family val="1"/>
      </rPr>
      <t>Deferred Tax</t>
    </r>
    <r>
      <rPr>
        <sz val="11"/>
        <color indexed="8"/>
        <rFont val="Cambria"/>
        <family val="1"/>
      </rPr>
      <t xml:space="preserve">
Deferred tax assets and liabilities are recognized for the future tax consequences of temporary differences between the carrying values of assets and liabilities and their respective tax bases, and unutilized business loss and depreciation carry-forwards and tax credits. Deferred tax assets are recognized to the extent that it is probable that future taxable income will be available against which the deductible temporary differences, unused tax losses, depreciation carry-forwards and unused tax credits could be utilized. 
Deferred tax assets and liabilities are measured based on the tax rates that are expected to apply in the period when the asset is realized or the liability is settled, based on tax rates and tax laws that have been enacted or substantively enacted by the reporting date.
 Deferred tax assets and liabilities are offset when there is a legally enforceable right to set off current tax assets against current tax liabilities and when they relate to income taxes levied by the same taxation authority and the Company intends to settle its current tax assets and liabilities on a net basis.</t>
    </r>
  </si>
  <si>
    <r>
      <rPr>
        <b/>
        <sz val="11"/>
        <color indexed="8"/>
        <rFont val="Cambria"/>
        <family val="1"/>
      </rPr>
      <t xml:space="preserve">Provisions, contingent liabilities and contingent assets
</t>
    </r>
    <r>
      <rPr>
        <sz val="11"/>
        <color indexed="8"/>
        <rFont val="Cambria"/>
        <family val="1"/>
      </rPr>
      <t>Provisions are recognised only when:
(i) an entity has a present obligation (legal or constructive) as a result of a past event; and
(ii) it is probable that an outflow of resources embodying economic benefits will be required
to settle the obligation; and
(iii) a reliable estimate can be made of the amount of the obligation
Provision is measured using the cash flows estimated to settle the present obligation and when the effect of time value of money is material, the carrying amount of the provision is the present value of those cash flows. Reimbursement expected in respect of expenditure required to settle a provision is recognised only when it is virtually certain that the reimbursement will be received.
Contingent liability is disclosed in case of:
(i) a present obligation arising from past events, when it is not probable that an outflow of
resources will be required to settle the obligation; and
(ii) a present obligation arising from past events, when no reliable estimate is possible.
Contingent assets are disclosed where an inflow of economic benefits is probable. Provisions, contingent liabilities and contingent assets are reviewed at each Balance Sheet date. 
Where the unavoidable costs of meeting the obligations under the contract exceed the economic benefits expected to be received under such contract, the present obligation under the contract is recognised and measured as a provision.
Contingent assets are not recognised in the financial statements.</t>
    </r>
  </si>
  <si>
    <r>
      <rPr>
        <b/>
        <sz val="11"/>
        <color indexed="8"/>
        <rFont val="Cambria"/>
        <family val="1"/>
      </rPr>
      <t>Statement of Cash Flows</t>
    </r>
    <r>
      <rPr>
        <sz val="11"/>
        <color indexed="8"/>
        <rFont val="Cambria"/>
        <family val="1"/>
      </rPr>
      <t xml:space="preserve">
Statement of Cash Flows is prepared segregating the cash flows into operating, investing and financing activities. Cash flow from operating activities is reported using indirect method adjusting the net profit for the effects of:
i. changes during the period in operating receivables and payables transactions of a noncash nature;
ii. non-cash items such as depreciation, provisions, deferred taxes, unrealised foreign currency gains and losses, and undistributed profits of associates and joint ventures; and
iii. all other items for which the cash effects are investing or financing cash flows
Cash and cash equivalents (including bank balances) shown in the Statement of Cash Flows exclude items which are not available for general use as on the date of Balance Sheet.</t>
    </r>
  </si>
  <si>
    <r>
      <rPr>
        <b/>
        <sz val="11"/>
        <color indexed="9"/>
        <rFont val="Cambria"/>
        <family val="1"/>
      </rPr>
      <t xml:space="preserve">FIRST TIME ADOPTION OF IND AS (read with note 2(i)) </t>
    </r>
    <r>
      <rPr>
        <sz val="11"/>
        <color indexed="9"/>
        <rFont val="Cambria"/>
        <family val="1"/>
      </rPr>
      <t xml:space="preserve">
The Company has adopted Ind AS as notified by the Ministry of Corporate Affairs with effect from April 1, 2019, with a transition date of April 1, 2018. The Financial Statements for the year ended March 31, 2020 are the first financial statements, that the Company has prepared under Ind AS. For all years up to and including the year ended March 31, 2019, the Company prepared its Financial Statements in accordance with Previous GAAP. 
The adoption of Ind AS has been carried out in accordance with Ind AS 101, First-time Adoption of Indian Accounting Standards. Ind AS 101 requires that all Ind AS standards and interpretations that are issued and effective for the first Ind AS financial statements be applied retrospectively and consistently for all financial years presented. Accordingly, the Company has prepared Financial Statements which comply with Ind AS for the year ended March 31, 2019 and the opening Ind AS Balance Sheet as at April 1, 2018, the date of transition to Ind AS. 
In preparing these Ind AS Financial Statements, the Company has availed certain exemptions and exceptions in accordance with Ind AS 101, as in Note 3. The resulting difference between the carrying values of the assets and liabilities in the financial statements as at the transition date under Ind AS and Previous GAAP have been recognised directly in equity (retained earnings or another appropriate category of equity). Note 3 explains the adjustments made by the Company in restating its Financial Statements prepared under Previous GAAP, including the Statement of Profit and Loss account for the year ended March 31, 2019 and the Balance Sheet as at April 1, 2018 and as at March 31, 2019.</t>
    </r>
  </si>
  <si>
    <t>Note:11</t>
  </si>
  <si>
    <t>Subordinated Debt</t>
  </si>
  <si>
    <t>(a)Subordinated Debts</t>
  </si>
  <si>
    <t>Total A</t>
  </si>
  <si>
    <t>(a) Subordinated Liabilities in India</t>
  </si>
  <si>
    <t>(b) Subordinated Liabilities outside India</t>
  </si>
  <si>
    <t>Total B</t>
  </si>
  <si>
    <t>Note:12</t>
  </si>
  <si>
    <t>Secured Non Convertible Debentures - Private Placement</t>
  </si>
  <si>
    <t>Series wise classification of secured non convertible debentures</t>
  </si>
  <si>
    <t>Non Convertible Debentures Private Placement III</t>
  </si>
  <si>
    <t>Non Convertible Debentures Private Placement  II</t>
  </si>
  <si>
    <t>Non Convertible Debentures Private Placement  I</t>
  </si>
  <si>
    <t>Interest wise classification of secured non convertible debentures</t>
  </si>
  <si>
    <t>(a)Non Convertible Debentures - &gt; 12% </t>
  </si>
  <si>
    <t>(b)Non Convertible Debentures - 12% </t>
  </si>
  <si>
    <t>(c)Non Convertible Debentures - 11.75% </t>
  </si>
  <si>
    <t>(d)Non Convertible Debentures - 11.5% </t>
  </si>
  <si>
    <t>(e)Non Convertible Debentures - 11.25% </t>
  </si>
  <si>
    <t>(f)Non Convertible Debentures - 10.5% </t>
  </si>
  <si>
    <t>(g)Non Convertible Debentures - 10.25% </t>
  </si>
  <si>
    <t>Maturity wise classification of secured non convertible debentures</t>
  </si>
  <si>
    <t>(a)Non Convertible Debentures - 68 months</t>
  </si>
  <si>
    <t>(b)Non Convertible Debentures - 60 months</t>
  </si>
  <si>
    <t>(c)Non Convertible Debentures - 24 months</t>
  </si>
  <si>
    <t>(d)Non Convertible Debentures - 13 months</t>
  </si>
  <si>
    <t>Short Term Advances</t>
  </si>
  <si>
    <t>Note: 14(a)</t>
  </si>
  <si>
    <t>Note: 14(b)</t>
  </si>
  <si>
    <t xml:space="preserve">STATEMENT OF CHANGES IN EQUITY FOR THE PERIOD ENDED MAR 31st, 2025 </t>
  </si>
  <si>
    <r>
      <rPr>
        <b/>
        <sz val="12"/>
        <color indexed="63"/>
        <rFont val="Cambria"/>
        <family val="1"/>
      </rPr>
      <t>Face value per unit `</t>
    </r>
  </si>
  <si>
    <r>
      <rPr>
        <b/>
        <sz val="12"/>
        <color indexed="63"/>
        <rFont val="Cambria"/>
        <family val="1"/>
      </rPr>
      <t>no. of units</t>
    </r>
  </si>
  <si>
    <r>
      <rPr>
        <b/>
        <sz val="12"/>
        <color indexed="8"/>
        <rFont val="Cambria"/>
        <family val="1"/>
      </rPr>
      <t>d)</t>
    </r>
    <r>
      <rPr>
        <sz val="12"/>
        <color indexed="8"/>
        <rFont val="Cambria"/>
        <family val="1"/>
      </rPr>
      <t xml:space="preserve">  The Company has only one class of equity share having par value of Re 10/- per share. Each holder of Equity share is entitled to one vote per share.  In the event of liquidation of the company, the holder of equity shares will be entitled to receive remaining assets of the Company after distribution of all preferential amounts. The Distribution will be in proportion to the number of equity share held by the shareholders.</t>
    </r>
  </si>
  <si>
    <r>
      <rPr>
        <b/>
        <sz val="12"/>
        <color indexed="8"/>
        <rFont val="Cambria"/>
        <family val="1"/>
      </rPr>
      <t>e)</t>
    </r>
    <r>
      <rPr>
        <sz val="12"/>
        <color indexed="8"/>
        <rFont val="Cambria"/>
        <family val="1"/>
      </rPr>
      <t xml:space="preserve"> No equity shares have been issued for consideration other than cash.</t>
    </r>
  </si>
  <si>
    <t>Note: 17</t>
  </si>
  <si>
    <t>Note: 19(i)</t>
  </si>
  <si>
    <t>Note: 19(ii)</t>
  </si>
  <si>
    <t>VC Georgekutty</t>
  </si>
  <si>
    <t xml:space="preserve"> The details of utilisation of share premium is shown in detail under SOCIE.</t>
  </si>
  <si>
    <r>
      <rPr>
        <b/>
        <sz val="12"/>
        <color indexed="8"/>
        <rFont val="Cambria"/>
        <family val="1"/>
      </rPr>
      <t>Level 1:</t>
    </r>
    <r>
      <rPr>
        <sz val="11"/>
        <color indexed="8"/>
        <rFont val="Cambria"/>
        <family val="1"/>
      </rPr>
      <t xml:space="preserve"> Level 1 hierarchy includes financial instruments measured using quoted prices. This includes listed equity instruments, traded bonds and mutual funds that have quoted price. The fair value of all equity instruments (including bonds) which are traded in the stock exchanges is valued using the closing price as at the reporting period. The mutual funds are valued using the closing NAV.</t>
    </r>
  </si>
  <si>
    <r>
      <rPr>
        <b/>
        <sz val="12"/>
        <color indexed="8"/>
        <rFont val="Cambria"/>
        <family val="1"/>
      </rPr>
      <t xml:space="preserve">Level 2: </t>
    </r>
    <r>
      <rPr>
        <sz val="11"/>
        <color indexed="8"/>
        <rFont val="Cambria"/>
        <family val="1"/>
      </rPr>
      <t>The fair value of financial instruments that are not traded in an active market (for example, traded bonds, over-the- counter derivatives) is determined using valuation techniques which maximise the use of observable market data and rely as little as possible on entity-specific estimates. If all significant inputs required to fair value an instrument are observable, the instrument is included in level 2.</t>
    </r>
  </si>
  <si>
    <r>
      <rPr>
        <b/>
        <sz val="12"/>
        <color indexed="8"/>
        <rFont val="Cambria"/>
        <family val="1"/>
      </rPr>
      <t xml:space="preserve">Level 3: </t>
    </r>
    <r>
      <rPr>
        <sz val="11"/>
        <color indexed="8"/>
        <rFont val="Cambria"/>
        <family val="1"/>
      </rPr>
      <t xml:space="preserve">If one or more of the significant inputs is not based on observable market data, the instrument is included in level 3. This is the case for unlisted equity securities, contingent consideration and indemnification asset included in level 3. </t>
    </r>
  </si>
  <si>
    <r>
      <rPr>
        <b/>
        <sz val="11"/>
        <rFont val="Cambria"/>
        <family val="1"/>
      </rPr>
      <t>Difference between Ind AS 109
provisions and IRACP norms</t>
    </r>
  </si>
  <si>
    <r>
      <rPr>
        <b/>
        <sz val="11"/>
        <color indexed="8"/>
        <rFont val="Cambria"/>
        <family val="1"/>
      </rPr>
      <t>Current Investments:
1 Quoted:</t>
    </r>
    <r>
      <rPr>
        <sz val="11"/>
        <color indexed="8"/>
        <rFont val="Cambria"/>
        <family val="1"/>
      </rPr>
      <t xml:space="preserve">
     (i) Shares:
             (a) Equity
             (b) Preference 
    (ii) Debentures and Bonds 
    (iii) Units of Mutual Funds 
    (iv) Government Securities 
    (v) Others 
</t>
    </r>
    <r>
      <rPr>
        <b/>
        <sz val="11"/>
        <color indexed="8"/>
        <rFont val="Cambria"/>
        <family val="1"/>
      </rPr>
      <t>2 Unquoted:</t>
    </r>
    <r>
      <rPr>
        <sz val="11"/>
        <color indexed="8"/>
        <rFont val="Cambria"/>
        <family val="1"/>
      </rPr>
      <t xml:space="preserve">
       (i) Shares:
             (a) Equity
             (b) Preference 
    (ii) Debentures and Bonds 
    (iii) Units of Mutual Funds 
    (iv) Government Securities 
    (v) Others </t>
    </r>
  </si>
  <si>
    <r>
      <rPr>
        <b/>
        <sz val="11"/>
        <color indexed="8"/>
        <rFont val="Cambria"/>
        <family val="1"/>
      </rPr>
      <t>Footnotes:</t>
    </r>
    <r>
      <rPr>
        <sz val="11"/>
        <color indexed="8"/>
        <rFont val="Cambria"/>
        <family val="1"/>
      </rPr>
      <t xml:space="preserve">
1. The Company has adopted Ind AS w.e.f. April 1, 2019 with transition as at April 1, 2018. The Ind AS 24 has replaced the erstwhile Accounting Standard 18 on related parties. The breakup of related parties is now in line with Indian Accounting Standard 24.</t>
    </r>
  </si>
  <si>
    <t>For the year    ended      31.03.2024</t>
  </si>
  <si>
    <t>Room Security</t>
  </si>
  <si>
    <t>UDIN: 25236710BMIXWN8312</t>
  </si>
  <si>
    <t>Gold Loan to Total Asset</t>
  </si>
  <si>
    <t>1-27</t>
  </si>
  <si>
    <t>NA</t>
  </si>
  <si>
    <t xml:space="preserve">       (a) Related Parties 
       </t>
  </si>
  <si>
    <t xml:space="preserve">       (b) Other than Related Parties</t>
  </si>
  <si>
    <t xml:space="preserve">       (a) Related Parties 
  </t>
  </si>
  <si>
    <t>1. Loans and advances availed by the non banking financial company inclusive of interest accrued thereon but not paid :</t>
  </si>
  <si>
    <t>The following Expenses are deffered : Marketing expenses,Administrative expense,Insurance and Advertisement expenses</t>
  </si>
  <si>
    <t>IDBI Bank (unclaimed dividend)</t>
  </si>
  <si>
    <t>Unpaid Dividend Account (earmarked bank account)</t>
  </si>
  <si>
    <t>Other financial Assets</t>
  </si>
  <si>
    <t>Bank balances other than Cash &amp; cash equivalents</t>
  </si>
  <si>
    <t>Issue of Non Convertible Debentures</t>
  </si>
  <si>
    <t>Redemption of Non Convertible Debentures</t>
  </si>
  <si>
    <t>LOANS DPN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</si>
</sst>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 #,##0.00_ ;_ * \-#,##0.00_ ;_ * &quot;-&quot;??_ ;_ @_ "/>
    <numFmt numFmtId="164" formatCode="_(* #,##0.00_);_(* \(#,##0.00\);_(* &quot;-&quot;??_);_(@_)"/>
    <numFmt numFmtId="165" formatCode="_-* #,##0.00_-;\-* #,##0.00_-;_-* &quot;-&quot;??_-;_-@_-"/>
    <numFmt numFmtId="166" formatCode="_(* #,##0_);_(* \(#,##0\);_(* &quot;-&quot;??_);_(@_)"/>
    <numFmt numFmtId="167" formatCode="0_);\(0\)"/>
    <numFmt numFmtId="168" formatCode="_ * #,##0_ ;_ * \-#,##0_ ;_ * &quot;-&quot;??_ ;_ @_ "/>
    <numFmt numFmtId="169" formatCode="[$-F800]dddd\,\ mmmm\ dd\,\ yyyy"/>
    <numFmt numFmtId="170" formatCode="0.00_)"/>
    <numFmt numFmtId="171" formatCode="0.0"/>
    <numFmt numFmtId="172" formatCode="0.00_);[Red]\(0.00\)"/>
    <numFmt numFmtId="173" formatCode="&quot;&quot;0&quot; Nos.&quot;"/>
    <numFmt numFmtId="174" formatCode="_(* #,##0.000_);_(* \(#,##0.000\);_(* &quot;-&quot;??_);_(@_)"/>
    <numFmt numFmtId="175" formatCode="0.000"/>
    <numFmt numFmtId="176" formatCode="_(* #,##0.0000_);_(* \(#,##0.0000\);_(* &quot;-&quot;??_);_(@_)"/>
    <numFmt numFmtId="177" formatCode="_(* #,##0.0_);_(* \(#,##0.0\);_(* &quot;-&quot;??_);_(@_)"/>
    <numFmt numFmtId="178" formatCode="_-* #,##0_-;\-* #,##0_-;_-* &quot;-&quot;??_-;_-@_-"/>
  </numFmts>
  <fonts count="88"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Courier"/>
      <family val="3"/>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theme="1"/>
      <name val="Calibri"/>
      <family val="2"/>
    </font>
    <font>
      <sz val="10"/>
      <color rgb="FF000000"/>
      <name val="Times New Roman"/>
      <family val="1"/>
    </font>
    <font>
      <sz val="11"/>
      <color theme="1"/>
      <name val="Bahnschrift"/>
      <family val="2"/>
    </font>
    <font>
      <sz val="10.5"/>
      <color theme="1"/>
      <name val="Bahnschrift"/>
      <family val="2"/>
    </font>
    <font>
      <b/>
      <sz val="11"/>
      <color theme="1"/>
      <name val="Bahnschrift"/>
      <family val="2"/>
    </font>
    <font>
      <u val="singleAccounting"/>
      <sz val="11"/>
      <color theme="1"/>
      <name val="Bahnschrift"/>
      <family val="2"/>
    </font>
    <font>
      <b/>
      <sz val="12"/>
      <color theme="1"/>
      <name val="Bahnschrift"/>
      <family val="2"/>
    </font>
    <font>
      <sz val="11"/>
      <color theme="0"/>
      <name val="Bahnschrift"/>
      <family val="2"/>
    </font>
    <font>
      <sz val="11"/>
      <color rgb="FFFFFF00"/>
      <name val="Bahnschrift"/>
      <family val="2"/>
    </font>
    <font>
      <b/>
      <sz val="18"/>
      <color theme="1"/>
      <name val="Bahnschrift"/>
      <family val="2"/>
    </font>
    <font>
      <b/>
      <sz val="11"/>
      <color theme="1"/>
      <name val="Arial"/>
      <family val="2"/>
    </font>
    <font>
      <sz val="11"/>
      <color theme="1"/>
      <name val="Arial"/>
      <family val="2"/>
    </font>
    <font>
      <sz val="10"/>
      <color theme="1"/>
      <name val="Cambria"/>
      <family val="1"/>
    </font>
    <font>
      <b/>
      <sz val="10"/>
      <color theme="1"/>
      <name val="Calibri"/>
      <family val="2"/>
      <scheme val="minor"/>
    </font>
    <font>
      <b/>
      <sz val="10"/>
      <name val="Calibri"/>
      <family val="2"/>
      <scheme val="minor"/>
    </font>
    <font>
      <b/>
      <sz val="10"/>
      <color rgb="FFFF0000"/>
      <name val="Cambria"/>
      <family val="1"/>
    </font>
    <font>
      <b/>
      <sz val="10"/>
      <color theme="1"/>
      <name val="Cambria"/>
      <family val="1"/>
    </font>
    <font>
      <sz val="10"/>
      <name val="Calibri"/>
      <family val="2"/>
      <scheme val="minor"/>
    </font>
    <font>
      <b/>
      <u/>
      <sz val="11"/>
      <color theme="1"/>
      <name val="Arial"/>
      <family val="2"/>
    </font>
    <font>
      <sz val="11"/>
      <name val="Calibri"/>
      <family val="2"/>
    </font>
    <font>
      <b/>
      <sz val="11"/>
      <color rgb="FF0070C0"/>
      <name val="Arial"/>
      <family val="2"/>
    </font>
    <font>
      <sz val="11"/>
      <color rgb="FF0070C0"/>
      <name val="Arial"/>
      <family val="2"/>
    </font>
    <font>
      <sz val="11"/>
      <color rgb="FF0070C0"/>
      <name val="Calibri"/>
      <family val="2"/>
      <scheme val="minor"/>
    </font>
    <font>
      <b/>
      <sz val="11"/>
      <color theme="1"/>
      <name val="Sylfaen"/>
      <family val="1"/>
    </font>
    <font>
      <sz val="11"/>
      <color theme="1"/>
      <name val="Sylfaen"/>
      <family val="1"/>
    </font>
    <font>
      <b/>
      <sz val="11"/>
      <color theme="1"/>
      <name val="Calibri"/>
      <family val="2"/>
      <scheme val="minor"/>
    </font>
    <font>
      <b/>
      <sz val="18"/>
      <color theme="1"/>
      <name val="Cambria"/>
      <family val="1"/>
    </font>
    <font>
      <b/>
      <sz val="11"/>
      <color theme="1"/>
      <name val="Cambria"/>
      <family val="1"/>
    </font>
    <font>
      <b/>
      <sz val="12"/>
      <color theme="1"/>
      <name val="Cambria"/>
      <family val="1"/>
    </font>
    <font>
      <b/>
      <sz val="10.5"/>
      <color theme="1"/>
      <name val="Cambria"/>
      <family val="1"/>
    </font>
    <font>
      <sz val="11"/>
      <color theme="1"/>
      <name val="Cambria"/>
      <family val="1"/>
    </font>
    <font>
      <sz val="12"/>
      <color rgb="FF000000"/>
      <name val="Cambria"/>
      <family val="1"/>
    </font>
    <font>
      <b/>
      <sz val="12"/>
      <color rgb="FF000000"/>
      <name val="Cambria"/>
      <family val="1"/>
    </font>
    <font>
      <sz val="10.5"/>
      <color theme="1"/>
      <name val="Cambria"/>
      <family val="1"/>
    </font>
    <font>
      <b/>
      <sz val="11"/>
      <name val="Cambria"/>
      <family val="1"/>
    </font>
    <font>
      <b/>
      <sz val="10.5"/>
      <name val="Cambria"/>
      <family val="1"/>
    </font>
    <font>
      <sz val="10.5"/>
      <name val="Cambria"/>
      <family val="1"/>
    </font>
    <font>
      <sz val="10.5"/>
      <color rgb="FFFF0000"/>
      <name val="Cambria"/>
      <family val="1"/>
    </font>
    <font>
      <sz val="11"/>
      <color indexed="10"/>
      <name val="Cambria"/>
      <family val="1"/>
    </font>
    <font>
      <sz val="11"/>
      <name val="Cambria"/>
      <family val="1"/>
    </font>
    <font>
      <b/>
      <sz val="11"/>
      <color indexed="8"/>
      <name val="Cambria"/>
      <family val="1"/>
    </font>
    <font>
      <sz val="11"/>
      <color indexed="8"/>
      <name val="Cambria"/>
      <family val="1"/>
    </font>
    <font>
      <i/>
      <sz val="11"/>
      <color theme="1"/>
      <name val="Cambria"/>
      <family val="1"/>
    </font>
    <font>
      <b/>
      <sz val="11"/>
      <color theme="0"/>
      <name val="Cambria"/>
      <family val="1"/>
    </font>
    <font>
      <sz val="11"/>
      <color theme="0"/>
      <name val="Cambria"/>
      <family val="1"/>
    </font>
    <font>
      <b/>
      <sz val="11"/>
      <color indexed="9"/>
      <name val="Cambria"/>
      <family val="1"/>
    </font>
    <font>
      <sz val="11"/>
      <color indexed="9"/>
      <name val="Cambria"/>
      <family val="1"/>
    </font>
    <font>
      <sz val="12"/>
      <color theme="1"/>
      <name val="Cambria"/>
      <family val="1"/>
    </font>
    <font>
      <b/>
      <u/>
      <sz val="11"/>
      <color theme="1"/>
      <name val="Cambria"/>
      <family val="1"/>
    </font>
    <font>
      <b/>
      <sz val="12"/>
      <name val="Cambria"/>
      <family val="1"/>
    </font>
    <font>
      <sz val="12"/>
      <color theme="1"/>
      <name val="Bahnschrift"/>
      <family val="2"/>
    </font>
    <font>
      <b/>
      <sz val="12"/>
      <color indexed="63"/>
      <name val="Cambria"/>
      <family val="1"/>
    </font>
    <font>
      <b/>
      <sz val="12"/>
      <color rgb="FF231F20"/>
      <name val="Cambria"/>
      <family val="1"/>
    </font>
    <font>
      <sz val="12"/>
      <name val="Cambria"/>
      <family val="1"/>
    </font>
    <font>
      <sz val="12"/>
      <color rgb="FF231F20"/>
      <name val="Cambria"/>
      <family val="1"/>
    </font>
    <font>
      <b/>
      <u/>
      <sz val="12"/>
      <color theme="1"/>
      <name val="Cambria"/>
      <family val="1"/>
    </font>
    <font>
      <b/>
      <sz val="12"/>
      <color indexed="8"/>
      <name val="Cambria"/>
      <family val="1"/>
    </font>
    <font>
      <sz val="12"/>
      <color indexed="8"/>
      <name val="Cambria"/>
      <family val="1"/>
    </font>
    <font>
      <sz val="12"/>
      <color rgb="FFFFFF00"/>
      <name val="Cambria"/>
      <family val="1"/>
    </font>
    <font>
      <sz val="12"/>
      <color rgb="FFFFFF00"/>
      <name val="Bahnschrift"/>
      <family val="2"/>
    </font>
    <font>
      <b/>
      <sz val="9"/>
      <color theme="1"/>
      <name val="Cambria"/>
      <family val="1"/>
    </font>
    <font>
      <b/>
      <sz val="10"/>
      <name val="Cambria"/>
      <family val="1"/>
    </font>
    <font>
      <sz val="10"/>
      <name val="Cambria"/>
      <family val="1"/>
    </font>
    <font>
      <b/>
      <u/>
      <sz val="10"/>
      <name val="Cambria"/>
      <family val="1"/>
    </font>
    <font>
      <sz val="11"/>
      <color rgb="FF000000"/>
      <name val="Cambria"/>
      <family val="1"/>
    </font>
    <font>
      <b/>
      <sz val="11"/>
      <color rgb="FF000000"/>
      <name val="Cambria"/>
      <family val="1"/>
    </font>
    <font>
      <sz val="12"/>
      <color theme="1"/>
      <name val="Calibri"/>
      <family val="2"/>
      <scheme val="minor"/>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1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rgb="FF231F20"/>
      </left>
      <right style="thin">
        <color rgb="FF231F20"/>
      </right>
      <top style="thin">
        <color rgb="FF231F20"/>
      </top>
      <bottom/>
      <diagonal/>
    </border>
    <border>
      <left/>
      <right style="thin">
        <color rgb="FF231F20"/>
      </right>
      <top style="thin">
        <color rgb="FF231F20"/>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style="thin">
        <color rgb="FF231F20"/>
      </right>
      <top/>
      <bottom/>
      <diagonal/>
    </border>
    <border>
      <left style="thin">
        <color indexed="64"/>
      </left>
      <right style="thin">
        <color rgb="FF231F20"/>
      </right>
      <top style="thin">
        <color indexed="64"/>
      </top>
      <bottom style="thin">
        <color indexed="64"/>
      </bottom>
      <diagonal/>
    </border>
    <border>
      <left/>
      <right style="thin">
        <color rgb="FF231F20"/>
      </right>
      <top/>
      <bottom/>
      <diagonal/>
    </border>
    <border>
      <left style="thin">
        <color rgb="FF000000"/>
      </left>
      <right style="thin">
        <color rgb="FF000000"/>
      </right>
      <top style="thin">
        <color rgb="FF000000"/>
      </top>
      <bottom style="thin">
        <color rgb="FF000000"/>
      </bottom>
      <diagonal/>
    </border>
    <border>
      <left/>
      <right style="thin">
        <color rgb="FF231F20"/>
      </right>
      <top style="thin">
        <color rgb="FF231F20"/>
      </top>
      <bottom/>
      <diagonal/>
    </border>
    <border>
      <left style="thin">
        <color rgb="FF231F20"/>
      </left>
      <right/>
      <top style="thin">
        <color rgb="FF231F20"/>
      </top>
      <bottom style="thin">
        <color rgb="FF231F2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rgb="FF231F20"/>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auto="1"/>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medium">
        <color auto="1"/>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s>
  <cellStyleXfs count="171">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164" fontId="20" fillId="0" borderId="0" applyFont="0" applyFill="0" applyBorder="0" applyAlignment="0" applyProtection="0"/>
    <xf numFmtId="166" fontId="1" fillId="0" borderId="0" applyFont="0" applyFill="0" applyBorder="0" applyAlignment="0" applyProtection="0"/>
    <xf numFmtId="173" fontId="20" fillId="0" borderId="0" applyFont="0" applyFill="0" applyBorder="0" applyAlignment="0" applyProtection="0"/>
    <xf numFmtId="164" fontId="1"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165" fontId="1"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0"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3"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7" borderId="1" applyNumberFormat="0" applyAlignment="0" applyProtection="0"/>
    <xf numFmtId="0" fontId="12" fillId="7" borderId="1" applyNumberFormat="0" applyAlignment="0" applyProtection="0"/>
    <xf numFmtId="0" fontId="13" fillId="0" borderId="6" applyNumberFormat="0" applyFill="0" applyAlignment="0" applyProtection="0"/>
    <xf numFmtId="0" fontId="13" fillId="0" borderId="6" applyNumberFormat="0" applyFill="0" applyAlignment="0" applyProtection="0"/>
    <xf numFmtId="0" fontId="14" fillId="22" borderId="0" applyNumberFormat="0" applyBorder="0" applyAlignment="0" applyProtection="0"/>
    <xf numFmtId="0" fontId="14" fillId="22" borderId="0" applyNumberFormat="0" applyBorder="0" applyAlignment="0" applyProtection="0"/>
    <xf numFmtId="0" fontId="20" fillId="0" borderId="0"/>
    <xf numFmtId="0" fontId="1" fillId="0" borderId="0"/>
    <xf numFmtId="0" fontId="20" fillId="0" borderId="0"/>
    <xf numFmtId="0" fontId="20" fillId="0" borderId="0"/>
    <xf numFmtId="0" fontId="20" fillId="0" borderId="0"/>
    <xf numFmtId="0" fontId="22" fillId="0" borderId="0"/>
    <xf numFmtId="0" fontId="1" fillId="0" borderId="0"/>
    <xf numFmtId="0" fontId="1" fillId="0" borderId="0"/>
    <xf numFmtId="0" fontId="21" fillId="0" borderId="0"/>
    <xf numFmtId="0" fontId="1" fillId="0" borderId="0"/>
    <xf numFmtId="0" fontId="1" fillId="0" borderId="0"/>
    <xf numFmtId="166" fontId="15" fillId="0" borderId="0"/>
    <xf numFmtId="0" fontId="1" fillId="0" borderId="0"/>
    <xf numFmtId="171" fontId="15" fillId="0" borderId="0"/>
    <xf numFmtId="171" fontId="15" fillId="0" borderId="0"/>
    <xf numFmtId="172" fontId="15" fillId="0" borderId="0"/>
    <xf numFmtId="0" fontId="15" fillId="0" borderId="0"/>
    <xf numFmtId="0" fontId="20" fillId="0" borderId="0"/>
    <xf numFmtId="0" fontId="20" fillId="0" borderId="0"/>
    <xf numFmtId="0" fontId="20" fillId="0" borderId="0"/>
    <xf numFmtId="0" fontId="1" fillId="23" borderId="7" applyNumberFormat="0" applyAlignment="0" applyProtection="0"/>
    <xf numFmtId="0" fontId="1" fillId="23" borderId="7" applyNumberFormat="0" applyAlignment="0" applyProtection="0"/>
    <xf numFmtId="0" fontId="16" fillId="20" borderId="8" applyNumberFormat="0" applyAlignment="0" applyProtection="0"/>
    <xf numFmtId="0" fontId="16" fillId="20" borderId="8" applyNumberFormat="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164" fontId="20" fillId="0" borderId="0" applyFont="0" applyFill="0" applyBorder="0" applyAlignment="0" applyProtection="0"/>
    <xf numFmtId="0" fontId="1" fillId="0" borderId="0"/>
    <xf numFmtId="0" fontId="1" fillId="0" borderId="0"/>
    <xf numFmtId="0" fontId="18" fillId="0" borderId="91" applyNumberFormat="0" applyFill="0" applyAlignment="0" applyProtection="0"/>
    <xf numFmtId="0" fontId="18" fillId="0" borderId="91" applyNumberFormat="0" applyFill="0" applyAlignment="0" applyProtection="0"/>
    <xf numFmtId="0" fontId="16" fillId="20" borderId="90" applyNumberFormat="0" applyAlignment="0" applyProtection="0"/>
    <xf numFmtId="0" fontId="16" fillId="20" borderId="90" applyNumberFormat="0" applyAlignment="0" applyProtection="0"/>
    <xf numFmtId="0" fontId="1" fillId="23" borderId="89" applyNumberFormat="0" applyAlignment="0" applyProtection="0"/>
    <xf numFmtId="0" fontId="1" fillId="23" borderId="89" applyNumberFormat="0" applyAlignment="0" applyProtection="0"/>
    <xf numFmtId="0" fontId="12" fillId="7" borderId="88" applyNumberFormat="0" applyAlignment="0" applyProtection="0"/>
    <xf numFmtId="0" fontId="12" fillId="7" borderId="88" applyNumberFormat="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0" fontId="5" fillId="20" borderId="88" applyNumberFormat="0" applyAlignment="0" applyProtection="0"/>
    <xf numFmtId="0" fontId="5" fillId="20" borderId="88" applyNumberFormat="0" applyAlignment="0" applyProtection="0"/>
    <xf numFmtId="165" fontId="20" fillId="0" borderId="0" applyFont="0" applyFill="0" applyBorder="0" applyAlignment="0" applyProtection="0"/>
    <xf numFmtId="0" fontId="40" fillId="0" borderId="0"/>
  </cellStyleXfs>
  <cellXfs count="999">
    <xf numFmtId="0" fontId="0" fillId="0" borderId="0" xfId="0"/>
    <xf numFmtId="0" fontId="23" fillId="0" borderId="0" xfId="0" applyFont="1"/>
    <xf numFmtId="166" fontId="23" fillId="0" borderId="0" xfId="0" applyNumberFormat="1" applyFont="1"/>
    <xf numFmtId="0" fontId="23" fillId="0" borderId="0" xfId="0" applyFont="1" applyAlignment="1">
      <alignment horizontal="left"/>
    </xf>
    <xf numFmtId="0" fontId="23" fillId="0" borderId="0" xfId="0" applyFont="1" applyAlignment="1">
      <alignment horizontal="center"/>
    </xf>
    <xf numFmtId="166" fontId="23" fillId="0" borderId="0" xfId="0" applyNumberFormat="1" applyFont="1" applyAlignment="1">
      <alignment horizontal="center"/>
    </xf>
    <xf numFmtId="166" fontId="23" fillId="0" borderId="0" xfId="55" applyNumberFormat="1" applyFont="1"/>
    <xf numFmtId="166" fontId="26" fillId="0" borderId="0" xfId="55" applyNumberFormat="1" applyFont="1"/>
    <xf numFmtId="166" fontId="23" fillId="0" borderId="0" xfId="55" applyNumberFormat="1" applyFont="1" applyFill="1"/>
    <xf numFmtId="0" fontId="33" fillId="0" borderId="0" xfId="143" applyFont="1" applyAlignment="1">
      <alignment wrapText="1"/>
    </xf>
    <xf numFmtId="0" fontId="34" fillId="24" borderId="74" xfId="0" applyFont="1" applyFill="1" applyBorder="1" applyAlignment="1">
      <alignment horizontal="center" vertical="center"/>
    </xf>
    <xf numFmtId="0" fontId="34" fillId="24" borderId="75" xfId="0" applyFont="1" applyFill="1" applyBorder="1" applyAlignment="1">
      <alignment horizontal="center" vertical="center"/>
    </xf>
    <xf numFmtId="166" fontId="35" fillId="26" borderId="75" xfId="55" applyNumberFormat="1" applyFont="1" applyFill="1" applyBorder="1" applyAlignment="1">
      <alignment horizontal="center" vertical="top" wrapText="1"/>
    </xf>
    <xf numFmtId="166" fontId="35" fillId="24" borderId="75" xfId="55" applyNumberFormat="1" applyFont="1" applyFill="1" applyBorder="1" applyAlignment="1">
      <alignment horizontal="center" vertical="top" wrapText="1"/>
    </xf>
    <xf numFmtId="0" fontId="34" fillId="24" borderId="76" xfId="0" applyFont="1" applyFill="1" applyBorder="1" applyAlignment="1">
      <alignment horizontal="center" vertical="center"/>
    </xf>
    <xf numFmtId="0" fontId="33" fillId="0" borderId="0" xfId="143" applyFont="1" applyAlignment="1">
      <alignment horizontal="center" wrapText="1"/>
    </xf>
    <xf numFmtId="0" fontId="33" fillId="0" borderId="27" xfId="143" applyFont="1" applyBorder="1"/>
    <xf numFmtId="0" fontId="33" fillId="0" borderId="28" xfId="143" applyFont="1" applyBorder="1"/>
    <xf numFmtId="164" fontId="33" fillId="0" borderId="11" xfId="144" applyFont="1" applyBorder="1"/>
    <xf numFmtId="0" fontId="36" fillId="0" borderId="22" xfId="143" applyFont="1" applyBorder="1"/>
    <xf numFmtId="0" fontId="33" fillId="0" borderId="0" xfId="143" applyFont="1"/>
    <xf numFmtId="0" fontId="37" fillId="0" borderId="27" xfId="143" applyFont="1" applyBorder="1"/>
    <xf numFmtId="0" fontId="37" fillId="0" borderId="28" xfId="143" applyFont="1" applyBorder="1"/>
    <xf numFmtId="0" fontId="33" fillId="0" borderId="22" xfId="143" applyFont="1" applyBorder="1"/>
    <xf numFmtId="0" fontId="38" fillId="0" borderId="11" xfId="145" applyFont="1" applyBorder="1" applyAlignment="1">
      <alignment horizontal="left" vertical="center" wrapText="1"/>
    </xf>
    <xf numFmtId="9" fontId="33" fillId="0" borderId="11" xfId="118" applyFont="1" applyBorder="1"/>
    <xf numFmtId="43" fontId="33" fillId="0" borderId="0" xfId="143" applyNumberFormat="1" applyFont="1"/>
    <xf numFmtId="0" fontId="33" fillId="0" borderId="11" xfId="143" applyFont="1" applyBorder="1"/>
    <xf numFmtId="0" fontId="37" fillId="0" borderId="0" xfId="143" applyFont="1"/>
    <xf numFmtId="0" fontId="37" fillId="0" borderId="11" xfId="143" applyFont="1" applyBorder="1"/>
    <xf numFmtId="0" fontId="38" fillId="0" borderId="0" xfId="145" applyFont="1" applyAlignment="1">
      <alignment horizontal="left" vertical="center" wrapText="1"/>
    </xf>
    <xf numFmtId="0" fontId="33" fillId="0" borderId="22" xfId="143" applyFont="1" applyBorder="1" applyAlignment="1">
      <alignment wrapText="1"/>
    </xf>
    <xf numFmtId="0" fontId="33" fillId="0" borderId="32" xfId="143" applyFont="1" applyBorder="1"/>
    <xf numFmtId="0" fontId="33" fillId="0" borderId="33" xfId="143" applyFont="1" applyBorder="1"/>
    <xf numFmtId="164" fontId="33" fillId="0" borderId="34" xfId="144" applyFont="1" applyBorder="1"/>
    <xf numFmtId="9" fontId="33" fillId="0" borderId="34" xfId="118" applyFont="1" applyBorder="1"/>
    <xf numFmtId="0" fontId="33" fillId="0" borderId="25" xfId="143" applyFont="1" applyBorder="1"/>
    <xf numFmtId="164" fontId="33" fillId="0" borderId="0" xfId="144" applyFont="1"/>
    <xf numFmtId="174" fontId="33" fillId="0" borderId="11" xfId="144" applyNumberFormat="1" applyFont="1" applyBorder="1"/>
    <xf numFmtId="176" fontId="33" fillId="0" borderId="11" xfId="144" applyNumberFormat="1" applyFont="1" applyBorder="1"/>
    <xf numFmtId="176" fontId="33" fillId="0" borderId="34" xfId="144" applyNumberFormat="1" applyFont="1" applyBorder="1"/>
    <xf numFmtId="164" fontId="23" fillId="0" borderId="0" xfId="55" applyFont="1" applyFill="1"/>
    <xf numFmtId="164" fontId="0" fillId="0" borderId="0" xfId="55" applyFont="1"/>
    <xf numFmtId="43" fontId="0" fillId="0" borderId="0" xfId="0" applyNumberFormat="1"/>
    <xf numFmtId="164" fontId="42" fillId="0" borderId="47" xfId="55" applyFont="1" applyFill="1" applyBorder="1" applyAlignment="1">
      <alignment horizontal="right" vertical="top"/>
    </xf>
    <xf numFmtId="2" fontId="42" fillId="0" borderId="47" xfId="55" applyNumberFormat="1" applyFont="1" applyFill="1" applyBorder="1" applyAlignment="1">
      <alignment horizontal="right" vertical="top"/>
    </xf>
    <xf numFmtId="164" fontId="42" fillId="0" borderId="0" xfId="55" applyFont="1" applyFill="1" applyBorder="1" applyAlignment="1">
      <alignment horizontal="right" vertical="top"/>
    </xf>
    <xf numFmtId="164" fontId="41" fillId="0" borderId="47" xfId="55" applyFont="1" applyFill="1" applyBorder="1" applyAlignment="1">
      <alignment horizontal="right" vertical="top"/>
    </xf>
    <xf numFmtId="164" fontId="42" fillId="0" borderId="47" xfId="55" applyFont="1" applyFill="1" applyBorder="1" applyAlignment="1">
      <alignment horizontal="left" vertical="top" indent="2"/>
    </xf>
    <xf numFmtId="164" fontId="41" fillId="0" borderId="48" xfId="55" applyFont="1" applyFill="1" applyBorder="1" applyAlignment="1">
      <alignment horizontal="center" vertical="top"/>
    </xf>
    <xf numFmtId="164" fontId="41" fillId="0" borderId="46" xfId="55" applyFont="1" applyFill="1" applyBorder="1" applyAlignment="1">
      <alignment horizontal="right" vertical="top"/>
    </xf>
    <xf numFmtId="164" fontId="42" fillId="0" borderId="0" xfId="55" applyFont="1" applyFill="1" applyBorder="1" applyAlignment="1">
      <alignment horizontal="left" vertical="top" indent="2"/>
    </xf>
    <xf numFmtId="164" fontId="43" fillId="0" borderId="0" xfId="55" applyFont="1" applyFill="1" applyBorder="1"/>
    <xf numFmtId="164" fontId="41" fillId="0" borderId="48" xfId="55" applyFont="1" applyFill="1" applyBorder="1" applyAlignment="1">
      <alignment horizontal="right" vertical="top"/>
    </xf>
    <xf numFmtId="0" fontId="44" fillId="27" borderId="86" xfId="0" applyFont="1" applyFill="1" applyBorder="1"/>
    <xf numFmtId="164" fontId="44" fillId="27" borderId="86" xfId="55" applyFont="1" applyFill="1" applyBorder="1"/>
    <xf numFmtId="0" fontId="45" fillId="0" borderId="86" xfId="0" applyFont="1" applyBorder="1"/>
    <xf numFmtId="164" fontId="45" fillId="0" borderId="86" xfId="55" applyFont="1" applyBorder="1"/>
    <xf numFmtId="1" fontId="40" fillId="0" borderId="0" xfId="170" applyNumberFormat="1"/>
    <xf numFmtId="10" fontId="45" fillId="0" borderId="86" xfId="118" applyNumberFormat="1" applyFont="1" applyBorder="1"/>
    <xf numFmtId="0" fontId="45" fillId="0" borderId="0" xfId="0" applyFont="1"/>
    <xf numFmtId="164" fontId="45" fillId="0" borderId="0" xfId="55" applyFont="1"/>
    <xf numFmtId="49" fontId="0" fillId="0" borderId="0" xfId="0" applyNumberFormat="1"/>
    <xf numFmtId="164" fontId="0" fillId="0" borderId="0" xfId="55" applyFont="1" applyFill="1"/>
    <xf numFmtId="9" fontId="45" fillId="0" borderId="86" xfId="118" applyFont="1" applyFill="1" applyBorder="1"/>
    <xf numFmtId="164" fontId="45" fillId="0" borderId="86" xfId="55" applyFont="1" applyFill="1" applyBorder="1"/>
    <xf numFmtId="164" fontId="46" fillId="0" borderId="0" xfId="55" applyFont="1"/>
    <xf numFmtId="0" fontId="0" fillId="28" borderId="0" xfId="0" applyFill="1"/>
    <xf numFmtId="0" fontId="52" fillId="0" borderId="0" xfId="0" applyFont="1" applyAlignment="1">
      <alignment vertical="center"/>
    </xf>
    <xf numFmtId="0" fontId="51" fillId="0" borderId="0" xfId="0" applyFont="1"/>
    <xf numFmtId="0" fontId="51" fillId="0" borderId="21" xfId="0" applyFont="1" applyBorder="1"/>
    <xf numFmtId="166" fontId="51" fillId="0" borderId="0" xfId="0" applyNumberFormat="1" applyFont="1"/>
    <xf numFmtId="0" fontId="48" fillId="0" borderId="0" xfId="0" applyFont="1"/>
    <xf numFmtId="166" fontId="48" fillId="0" borderId="22" xfId="0" applyNumberFormat="1" applyFont="1" applyBorder="1"/>
    <xf numFmtId="0" fontId="53" fillId="0" borderId="0" xfId="0" applyFont="1" applyAlignment="1">
      <alignment vertical="center"/>
    </xf>
    <xf numFmtId="166" fontId="51" fillId="0" borderId="22" xfId="0" applyNumberFormat="1" applyFont="1" applyBorder="1"/>
    <xf numFmtId="164" fontId="51" fillId="0" borderId="22" xfId="0" applyNumberFormat="1" applyFont="1" applyBorder="1"/>
    <xf numFmtId="0" fontId="48" fillId="0" borderId="21" xfId="0" applyFont="1" applyBorder="1"/>
    <xf numFmtId="0" fontId="51" fillId="0" borderId="23" xfId="0" applyFont="1" applyBorder="1"/>
    <xf numFmtId="0" fontId="51" fillId="0" borderId="24" xfId="0" applyFont="1" applyBorder="1"/>
    <xf numFmtId="166" fontId="51" fillId="0" borderId="24" xfId="0" applyNumberFormat="1" applyFont="1" applyBorder="1"/>
    <xf numFmtId="166" fontId="51" fillId="0" borderId="11" xfId="55" applyNumberFormat="1" applyFont="1" applyFill="1" applyBorder="1" applyAlignment="1">
      <alignment horizontal="justify"/>
    </xf>
    <xf numFmtId="166" fontId="54" fillId="0" borderId="26" xfId="55" applyNumberFormat="1" applyFont="1" applyFill="1" applyBorder="1" applyAlignment="1">
      <alignment horizontal="justify"/>
    </xf>
    <xf numFmtId="166" fontId="54" fillId="0" borderId="11" xfId="55" applyNumberFormat="1" applyFont="1" applyFill="1" applyBorder="1" applyAlignment="1">
      <alignment horizontal="justify"/>
    </xf>
    <xf numFmtId="164" fontId="54" fillId="0" borderId="26" xfId="55" applyFont="1" applyFill="1" applyBorder="1" applyAlignment="1">
      <alignment horizontal="justify"/>
    </xf>
    <xf numFmtId="166" fontId="54" fillId="0" borderId="26" xfId="55" applyNumberFormat="1" applyFont="1" applyFill="1" applyBorder="1" applyAlignment="1"/>
    <xf numFmtId="166" fontId="51" fillId="0" borderId="26" xfId="55" applyNumberFormat="1" applyFont="1" applyFill="1" applyBorder="1" applyAlignment="1">
      <alignment horizontal="justify"/>
    </xf>
    <xf numFmtId="166" fontId="50" fillId="0" borderId="11" xfId="55" applyNumberFormat="1" applyFont="1" applyFill="1" applyBorder="1" applyAlignment="1">
      <alignment horizontal="justify"/>
    </xf>
    <xf numFmtId="166" fontId="50" fillId="0" borderId="26" xfId="55" applyNumberFormat="1" applyFont="1" applyFill="1" applyBorder="1" applyAlignment="1">
      <alignment horizontal="justify"/>
    </xf>
    <xf numFmtId="166" fontId="50" fillId="0" borderId="103" xfId="55" applyNumberFormat="1" applyFont="1" applyFill="1" applyBorder="1" applyAlignment="1">
      <alignment horizontal="justify"/>
    </xf>
    <xf numFmtId="166" fontId="50" fillId="0" borderId="104" xfId="55" applyNumberFormat="1" applyFont="1" applyFill="1" applyBorder="1" applyAlignment="1">
      <alignment horizontal="justify"/>
    </xf>
    <xf numFmtId="166" fontId="50" fillId="0" borderId="29" xfId="55" applyNumberFormat="1" applyFont="1" applyFill="1" applyBorder="1" applyAlignment="1">
      <alignment horizontal="justify"/>
    </xf>
    <xf numFmtId="166" fontId="50" fillId="0" borderId="82" xfId="55" applyNumberFormat="1" applyFont="1" applyFill="1" applyBorder="1" applyAlignment="1">
      <alignment horizontal="justify"/>
    </xf>
    <xf numFmtId="0" fontId="56" fillId="0" borderId="15" xfId="100" applyFont="1" applyBorder="1" applyAlignment="1">
      <alignment horizontal="center" wrapText="1"/>
    </xf>
    <xf numFmtId="0" fontId="56" fillId="0" borderId="27" xfId="100" applyFont="1" applyBorder="1" applyAlignment="1">
      <alignment horizontal="center"/>
    </xf>
    <xf numFmtId="170" fontId="56" fillId="0" borderId="10" xfId="100" applyNumberFormat="1" applyFont="1" applyBorder="1" applyAlignment="1">
      <alignment horizontal="left"/>
    </xf>
    <xf numFmtId="0" fontId="57" fillId="0" borderId="0" xfId="100" applyFont="1"/>
    <xf numFmtId="0" fontId="57" fillId="0" borderId="28" xfId="100" applyFont="1" applyBorder="1"/>
    <xf numFmtId="166" fontId="57" fillId="0" borderId="29" xfId="55" applyNumberFormat="1" applyFont="1" applyFill="1" applyBorder="1"/>
    <xf numFmtId="166" fontId="57" fillId="0" borderId="28" xfId="55" applyNumberFormat="1" applyFont="1" applyFill="1" applyBorder="1" applyAlignment="1">
      <alignment horizontal="center"/>
    </xf>
    <xf numFmtId="166" fontId="57" fillId="0" borderId="29" xfId="55" applyNumberFormat="1" applyFont="1" applyFill="1" applyBorder="1" applyAlignment="1">
      <alignment horizontal="center"/>
    </xf>
    <xf numFmtId="166" fontId="57" fillId="0" borderId="22" xfId="55" applyNumberFormat="1" applyFont="1" applyFill="1" applyBorder="1" applyAlignment="1">
      <alignment horizontal="center"/>
    </xf>
    <xf numFmtId="0" fontId="57" fillId="0" borderId="27" xfId="100" applyFont="1" applyBorder="1" applyAlignment="1">
      <alignment horizontal="center"/>
    </xf>
    <xf numFmtId="170" fontId="56" fillId="0" borderId="0" xfId="100" applyNumberFormat="1" applyFont="1" applyAlignment="1">
      <alignment horizontal="left"/>
    </xf>
    <xf numFmtId="170" fontId="56" fillId="0" borderId="28" xfId="100" applyNumberFormat="1" applyFont="1" applyBorder="1" applyAlignment="1">
      <alignment horizontal="left"/>
    </xf>
    <xf numFmtId="166" fontId="57" fillId="0" borderId="11" xfId="55" applyNumberFormat="1" applyFont="1" applyFill="1" applyBorder="1"/>
    <xf numFmtId="166" fontId="57" fillId="0" borderId="26" xfId="55" applyNumberFormat="1" applyFont="1" applyFill="1" applyBorder="1"/>
    <xf numFmtId="170" fontId="56" fillId="0" borderId="10" xfId="100" applyNumberFormat="1" applyFont="1" applyBorder="1"/>
    <xf numFmtId="170" fontId="56" fillId="0" borderId="0" xfId="100" applyNumberFormat="1" applyFont="1"/>
    <xf numFmtId="170" fontId="56" fillId="0" borderId="28" xfId="100" applyNumberFormat="1" applyFont="1" applyBorder="1"/>
    <xf numFmtId="166" fontId="57" fillId="0" borderId="28" xfId="55" applyNumberFormat="1" applyFont="1" applyFill="1" applyBorder="1"/>
    <xf numFmtId="166" fontId="57" fillId="0" borderId="22" xfId="55" applyNumberFormat="1" applyFont="1" applyFill="1" applyBorder="1"/>
    <xf numFmtId="170" fontId="57" fillId="0" borderId="10" xfId="100" applyNumberFormat="1" applyFont="1" applyBorder="1" applyAlignment="1">
      <alignment horizontal="left"/>
    </xf>
    <xf numFmtId="166" fontId="51" fillId="0" borderId="28" xfId="55" applyNumberFormat="1" applyFont="1" applyFill="1" applyBorder="1"/>
    <xf numFmtId="166" fontId="58" fillId="0" borderId="11" xfId="55" applyNumberFormat="1" applyFont="1" applyFill="1" applyBorder="1"/>
    <xf numFmtId="0" fontId="57" fillId="0" borderId="10" xfId="100" applyFont="1" applyBorder="1"/>
    <xf numFmtId="166" fontId="51" fillId="0" borderId="11" xfId="55" applyNumberFormat="1" applyFont="1" applyFill="1" applyBorder="1"/>
    <xf numFmtId="166" fontId="57" fillId="0" borderId="22" xfId="55" applyNumberFormat="1" applyFont="1" applyFill="1" applyBorder="1" applyProtection="1"/>
    <xf numFmtId="166" fontId="57" fillId="0" borderId="18" xfId="55" applyNumberFormat="1" applyFont="1" applyFill="1" applyBorder="1" applyProtection="1"/>
    <xf numFmtId="166" fontId="51" fillId="0" borderId="30" xfId="55" applyNumberFormat="1" applyFont="1" applyFill="1" applyBorder="1"/>
    <xf numFmtId="166" fontId="57" fillId="0" borderId="18" xfId="55" applyNumberFormat="1" applyFont="1" applyFill="1" applyBorder="1"/>
    <xf numFmtId="177" fontId="57" fillId="0" borderId="31" xfId="55" applyNumberFormat="1" applyFont="1" applyFill="1" applyBorder="1" applyProtection="1"/>
    <xf numFmtId="166" fontId="57" fillId="0" borderId="28" xfId="55" applyNumberFormat="1" applyFont="1" applyFill="1" applyBorder="1" applyProtection="1"/>
    <xf numFmtId="170" fontId="57" fillId="0" borderId="10" xfId="100" applyNumberFormat="1" applyFont="1" applyBorder="1"/>
    <xf numFmtId="170" fontId="57" fillId="0" borderId="0" xfId="100" applyNumberFormat="1" applyFont="1"/>
    <xf numFmtId="170" fontId="57" fillId="0" borderId="28" xfId="100" applyNumberFormat="1" applyFont="1" applyBorder="1"/>
    <xf numFmtId="166" fontId="57" fillId="0" borderId="30" xfId="55" applyNumberFormat="1" applyFont="1" applyFill="1" applyBorder="1"/>
    <xf numFmtId="166" fontId="57" fillId="0" borderId="31" xfId="55" applyNumberFormat="1" applyFont="1" applyFill="1" applyBorder="1"/>
    <xf numFmtId="0" fontId="56" fillId="0" borderId="10" xfId="100" applyFont="1" applyBorder="1"/>
    <xf numFmtId="166" fontId="56" fillId="0" borderId="28" xfId="55" applyNumberFormat="1" applyFont="1" applyFill="1" applyBorder="1" applyProtection="1"/>
    <xf numFmtId="166" fontId="56" fillId="0" borderId="22" xfId="55" applyNumberFormat="1" applyFont="1" applyFill="1" applyBorder="1" applyProtection="1"/>
    <xf numFmtId="166" fontId="57" fillId="0" borderId="30" xfId="55" applyNumberFormat="1" applyFont="1" applyFill="1" applyBorder="1" applyProtection="1"/>
    <xf numFmtId="166" fontId="57" fillId="0" borderId="31" xfId="55" applyNumberFormat="1" applyFont="1" applyFill="1" applyBorder="1" applyProtection="1"/>
    <xf numFmtId="166" fontId="56" fillId="0" borderId="11" xfId="55" applyNumberFormat="1" applyFont="1" applyFill="1" applyBorder="1"/>
    <xf numFmtId="0" fontId="56" fillId="0" borderId="27" xfId="100" quotePrefix="1" applyFont="1" applyBorder="1" applyAlignment="1">
      <alignment horizontal="center"/>
    </xf>
    <xf numFmtId="166" fontId="56" fillId="0" borderId="105" xfId="55" applyNumberFormat="1" applyFont="1" applyFill="1" applyBorder="1" applyProtection="1"/>
    <xf numFmtId="166" fontId="56" fillId="0" borderId="106" xfId="55" applyNumberFormat="1" applyFont="1" applyFill="1" applyBorder="1" applyProtection="1"/>
    <xf numFmtId="0" fontId="51" fillId="25" borderId="45" xfId="0" applyFont="1" applyFill="1" applyBorder="1"/>
    <xf numFmtId="0" fontId="51" fillId="25" borderId="50" xfId="0" applyFont="1" applyFill="1" applyBorder="1"/>
    <xf numFmtId="166" fontId="51" fillId="0" borderId="50" xfId="0" applyNumberFormat="1" applyFont="1" applyBorder="1"/>
    <xf numFmtId="166" fontId="51" fillId="25" borderId="50" xfId="0" applyNumberFormat="1" applyFont="1" applyFill="1" applyBorder="1"/>
    <xf numFmtId="166" fontId="51" fillId="25" borderId="51" xfId="0" applyNumberFormat="1" applyFont="1" applyFill="1" applyBorder="1"/>
    <xf numFmtId="0" fontId="51" fillId="25" borderId="0" xfId="0" applyFont="1" applyFill="1"/>
    <xf numFmtId="0" fontId="48" fillId="25" borderId="21" xfId="0" applyFont="1" applyFill="1" applyBorder="1"/>
    <xf numFmtId="166" fontId="51" fillId="25" borderId="0" xfId="0" applyNumberFormat="1" applyFont="1" applyFill="1"/>
    <xf numFmtId="0" fontId="51" fillId="25" borderId="21" xfId="0" applyFont="1" applyFill="1" applyBorder="1"/>
    <xf numFmtId="166" fontId="51" fillId="25" borderId="22" xfId="0" applyNumberFormat="1" applyFont="1" applyFill="1" applyBorder="1"/>
    <xf numFmtId="166" fontId="51" fillId="0" borderId="25" xfId="0" applyNumberFormat="1" applyFont="1" applyBorder="1"/>
    <xf numFmtId="166" fontId="51" fillId="0" borderId="20" xfId="55" applyNumberFormat="1" applyFont="1" applyFill="1" applyBorder="1"/>
    <xf numFmtId="166" fontId="51" fillId="0" borderId="11" xfId="55" quotePrefix="1" applyNumberFormat="1" applyFont="1" applyFill="1" applyBorder="1"/>
    <xf numFmtId="166" fontId="48" fillId="0" borderId="14" xfId="55" applyNumberFormat="1" applyFont="1" applyFill="1" applyBorder="1"/>
    <xf numFmtId="166" fontId="49" fillId="0" borderId="0" xfId="55" applyNumberFormat="1" applyFont="1" applyFill="1" applyBorder="1"/>
    <xf numFmtId="166" fontId="49" fillId="0" borderId="110" xfId="55" applyNumberFormat="1" applyFont="1" applyFill="1" applyBorder="1" applyAlignment="1">
      <alignment horizontal="center" wrapText="1"/>
    </xf>
    <xf numFmtId="166" fontId="51" fillId="0" borderId="0" xfId="55" applyNumberFormat="1" applyFont="1" applyFill="1" applyBorder="1"/>
    <xf numFmtId="166" fontId="68" fillId="0" borderId="11" xfId="55" applyNumberFormat="1" applyFont="1" applyFill="1" applyBorder="1"/>
    <xf numFmtId="166" fontId="49" fillId="0" borderId="100" xfId="55" applyNumberFormat="1" applyFont="1" applyFill="1" applyBorder="1"/>
    <xf numFmtId="166" fontId="49" fillId="0" borderId="98" xfId="55" applyNumberFormat="1" applyFont="1" applyFill="1" applyBorder="1"/>
    <xf numFmtId="166" fontId="68" fillId="0" borderId="0" xfId="55" applyNumberFormat="1" applyFont="1" applyFill="1" applyBorder="1"/>
    <xf numFmtId="166" fontId="68" fillId="0" borderId="28" xfId="55" applyNumberFormat="1" applyFont="1" applyFill="1" applyBorder="1"/>
    <xf numFmtId="164" fontId="49" fillId="0" borderId="98" xfId="55" applyFont="1" applyFill="1" applyBorder="1"/>
    <xf numFmtId="166" fontId="68" fillId="0" borderId="0" xfId="55" applyNumberFormat="1" applyFont="1" applyFill="1"/>
    <xf numFmtId="166" fontId="68" fillId="0" borderId="11" xfId="55" applyNumberFormat="1" applyFont="1" applyFill="1" applyBorder="1" applyAlignment="1"/>
    <xf numFmtId="166" fontId="68" fillId="0" borderId="11" xfId="55" applyNumberFormat="1" applyFont="1" applyFill="1" applyBorder="1" applyAlignment="1">
      <alignment wrapText="1"/>
    </xf>
    <xf numFmtId="166" fontId="49" fillId="0" borderId="109" xfId="55" applyNumberFormat="1" applyFont="1" applyFill="1" applyBorder="1"/>
    <xf numFmtId="177" fontId="49" fillId="0" borderId="98" xfId="55" applyNumberFormat="1" applyFont="1" applyFill="1" applyBorder="1" applyAlignment="1"/>
    <xf numFmtId="166" fontId="49" fillId="0" borderId="98" xfId="55" applyNumberFormat="1" applyFont="1" applyFill="1" applyBorder="1" applyAlignment="1"/>
    <xf numFmtId="166" fontId="51" fillId="0" borderId="0" xfId="55" applyNumberFormat="1" applyFont="1" applyFill="1"/>
    <xf numFmtId="166" fontId="48" fillId="0" borderId="0" xfId="55" applyNumberFormat="1" applyFont="1" applyFill="1" applyBorder="1"/>
    <xf numFmtId="166" fontId="51" fillId="0" borderId="11" xfId="55" applyNumberFormat="1" applyFont="1" applyFill="1" applyBorder="1" applyAlignment="1">
      <alignment horizontal="center" vertical="center"/>
    </xf>
    <xf numFmtId="166" fontId="51" fillId="0" borderId="10" xfId="55" applyNumberFormat="1" applyFont="1" applyFill="1" applyBorder="1"/>
    <xf numFmtId="166" fontId="51" fillId="0" borderId="18" xfId="55" applyNumberFormat="1" applyFont="1" applyFill="1" applyBorder="1"/>
    <xf numFmtId="166" fontId="68" fillId="0" borderId="38" xfId="55" applyNumberFormat="1" applyFont="1" applyFill="1" applyBorder="1"/>
    <xf numFmtId="166" fontId="68" fillId="0" borderId="20" xfId="55" applyNumberFormat="1" applyFont="1" applyFill="1" applyBorder="1"/>
    <xf numFmtId="166" fontId="49" fillId="0" borderId="13" xfId="55" applyNumberFormat="1" applyFont="1" applyFill="1" applyBorder="1"/>
    <xf numFmtId="166" fontId="49" fillId="0" borderId="14" xfId="55" applyNumberFormat="1" applyFont="1" applyFill="1" applyBorder="1"/>
    <xf numFmtId="166" fontId="68" fillId="0" borderId="36" xfId="55" applyNumberFormat="1" applyFont="1" applyFill="1" applyBorder="1"/>
    <xf numFmtId="166" fontId="68" fillId="0" borderId="13" xfId="55" applyNumberFormat="1" applyFont="1" applyFill="1" applyBorder="1"/>
    <xf numFmtId="166" fontId="73" fillId="0" borderId="59" xfId="55" applyNumberFormat="1" applyFont="1" applyFill="1" applyBorder="1" applyAlignment="1">
      <alignment horizontal="center" vertical="center" wrapText="1"/>
    </xf>
    <xf numFmtId="166" fontId="70" fillId="0" borderId="20" xfId="55" applyNumberFormat="1" applyFont="1" applyFill="1" applyBorder="1" applyAlignment="1">
      <alignment horizontal="center" vertical="center" wrapText="1"/>
    </xf>
    <xf numFmtId="166" fontId="49" fillId="0" borderId="20" xfId="55" applyNumberFormat="1" applyFont="1" applyFill="1" applyBorder="1" applyAlignment="1">
      <alignment horizontal="center" vertical="center" wrapText="1"/>
    </xf>
    <xf numFmtId="166" fontId="49" fillId="0" borderId="83" xfId="55" applyNumberFormat="1" applyFont="1" applyFill="1" applyBorder="1" applyAlignment="1">
      <alignment horizontal="center" vertical="center" wrapText="1"/>
    </xf>
    <xf numFmtId="174" fontId="49" fillId="0" borderId="11" xfId="55" applyNumberFormat="1" applyFont="1" applyFill="1" applyBorder="1" applyAlignment="1">
      <alignment horizontal="center" vertical="center"/>
    </xf>
    <xf numFmtId="166" fontId="49" fillId="0" borderId="11" xfId="55" applyNumberFormat="1" applyFont="1" applyFill="1" applyBorder="1" applyAlignment="1">
      <alignment horizontal="center" vertical="center"/>
    </xf>
    <xf numFmtId="166" fontId="68" fillId="0" borderId="11" xfId="55" applyNumberFormat="1" applyFont="1" applyFill="1" applyBorder="1" applyAlignment="1">
      <alignment horizontal="center" vertical="center"/>
    </xf>
    <xf numFmtId="166" fontId="49" fillId="0" borderId="14" xfId="55" applyNumberFormat="1" applyFont="1" applyFill="1" applyBorder="1" applyAlignment="1">
      <alignment horizontal="center" vertical="center"/>
    </xf>
    <xf numFmtId="166" fontId="68" fillId="0" borderId="108" xfId="55" applyNumberFormat="1" applyFont="1" applyFill="1" applyBorder="1"/>
    <xf numFmtId="166" fontId="49" fillId="0" borderId="94" xfId="55" applyNumberFormat="1" applyFont="1" applyFill="1" applyBorder="1"/>
    <xf numFmtId="166" fontId="49" fillId="0" borderId="92" xfId="55" applyNumberFormat="1" applyFont="1" applyFill="1" applyBorder="1"/>
    <xf numFmtId="166" fontId="68" fillId="0" borderId="107" xfId="55" applyNumberFormat="1" applyFont="1" applyFill="1" applyBorder="1"/>
    <xf numFmtId="166" fontId="68" fillId="0" borderId="100" xfId="55" applyNumberFormat="1" applyFont="1" applyFill="1" applyBorder="1"/>
    <xf numFmtId="166" fontId="68" fillId="0" borderId="10" xfId="55" applyNumberFormat="1" applyFont="1" applyFill="1" applyBorder="1"/>
    <xf numFmtId="166" fontId="68" fillId="0" borderId="35" xfId="55" applyNumberFormat="1" applyFont="1" applyFill="1" applyBorder="1"/>
    <xf numFmtId="166" fontId="68" fillId="0" borderId="18" xfId="55" applyNumberFormat="1" applyFont="1" applyFill="1" applyBorder="1"/>
    <xf numFmtId="166" fontId="74" fillId="0" borderId="0" xfId="55" applyNumberFormat="1" applyFont="1" applyFill="1" applyBorder="1" applyAlignment="1">
      <alignment horizontal="right"/>
    </xf>
    <xf numFmtId="166" fontId="49" fillId="0" borderId="60" xfId="55" applyNumberFormat="1" applyFont="1" applyFill="1" applyBorder="1" applyAlignment="1">
      <alignment horizontal="center" vertical="center" wrapText="1"/>
    </xf>
    <xf numFmtId="166" fontId="68" fillId="0" borderId="59" xfId="55" applyNumberFormat="1" applyFont="1" applyFill="1" applyBorder="1" applyAlignment="1">
      <alignment horizontal="left" wrapText="1"/>
    </xf>
    <xf numFmtId="166" fontId="68" fillId="0" borderId="62" xfId="55" applyNumberFormat="1" applyFont="1" applyFill="1" applyBorder="1" applyAlignment="1">
      <alignment horizontal="center" vertical="center" wrapText="1"/>
    </xf>
    <xf numFmtId="166" fontId="68" fillId="0" borderId="62" xfId="55" applyNumberFormat="1" applyFont="1" applyFill="1" applyBorder="1" applyAlignment="1">
      <alignment horizontal="center" vertical="center" shrinkToFit="1"/>
    </xf>
    <xf numFmtId="166" fontId="49" fillId="0" borderId="60" xfId="55" applyNumberFormat="1" applyFont="1" applyFill="1" applyBorder="1" applyAlignment="1">
      <alignment horizontal="right" vertical="top" shrinkToFit="1"/>
    </xf>
    <xf numFmtId="166" fontId="73" fillId="0" borderId="60" xfId="55" applyNumberFormat="1" applyFont="1" applyFill="1" applyBorder="1" applyAlignment="1">
      <alignment horizontal="center" vertical="center" wrapText="1"/>
    </xf>
    <xf numFmtId="166" fontId="74" fillId="0" borderId="62" xfId="55" applyNumberFormat="1" applyFont="1" applyFill="1" applyBorder="1" applyAlignment="1">
      <alignment horizontal="center" vertical="center" wrapText="1"/>
    </xf>
    <xf numFmtId="166" fontId="75" fillId="0" borderId="62" xfId="55" applyNumberFormat="1" applyFont="1" applyFill="1" applyBorder="1" applyAlignment="1">
      <alignment horizontal="center" vertical="center" shrinkToFit="1"/>
    </xf>
    <xf numFmtId="166" fontId="73" fillId="0" borderId="60" xfId="55" applyNumberFormat="1" applyFont="1" applyFill="1" applyBorder="1" applyAlignment="1">
      <alignment horizontal="right" vertical="top" shrinkToFit="1"/>
    </xf>
    <xf numFmtId="166" fontId="73" fillId="0" borderId="0" xfId="55" applyNumberFormat="1" applyFont="1" applyFill="1" applyBorder="1" applyAlignment="1">
      <alignment horizontal="right" vertical="top" shrinkToFit="1"/>
    </xf>
    <xf numFmtId="166" fontId="49" fillId="0" borderId="12" xfId="55" applyNumberFormat="1" applyFont="1" applyFill="1" applyBorder="1"/>
    <xf numFmtId="166" fontId="49" fillId="0" borderId="14" xfId="55" applyNumberFormat="1" applyFont="1" applyFill="1" applyBorder="1" applyAlignment="1">
      <alignment horizontal="center" vertical="center" wrapText="1"/>
    </xf>
    <xf numFmtId="166" fontId="49" fillId="0" borderId="0" xfId="55" applyNumberFormat="1" applyFont="1" applyFill="1" applyAlignment="1"/>
    <xf numFmtId="166" fontId="68" fillId="0" borderId="40" xfId="55" applyNumberFormat="1" applyFont="1" applyFill="1" applyBorder="1"/>
    <xf numFmtId="166" fontId="68" fillId="0" borderId="14" xfId="55" applyNumberFormat="1" applyFont="1" applyFill="1" applyBorder="1"/>
    <xf numFmtId="166" fontId="68" fillId="0" borderId="0" xfId="55" applyNumberFormat="1" applyFont="1" applyFill="1" applyAlignment="1">
      <alignment wrapText="1"/>
    </xf>
    <xf numFmtId="166" fontId="68" fillId="0" borderId="85" xfId="55" applyNumberFormat="1" applyFont="1" applyFill="1" applyBorder="1" applyAlignment="1">
      <alignment horizontal="center" vertical="center" wrapText="1" shrinkToFit="1"/>
    </xf>
    <xf numFmtId="166" fontId="68" fillId="0" borderId="0" xfId="55" applyNumberFormat="1" applyFont="1" applyFill="1" applyBorder="1" applyAlignment="1">
      <alignment horizontal="center" vertical="center"/>
    </xf>
    <xf numFmtId="166" fontId="68" fillId="0" borderId="28" xfId="55" applyNumberFormat="1" applyFont="1" applyFill="1" applyBorder="1" applyAlignment="1">
      <alignment horizontal="center" vertical="center"/>
    </xf>
    <xf numFmtId="10" fontId="68" fillId="0" borderId="85" xfId="118" applyNumberFormat="1" applyFont="1" applyFill="1" applyBorder="1" applyAlignment="1">
      <alignment horizontal="center"/>
    </xf>
    <xf numFmtId="166" fontId="49" fillId="0" borderId="40" xfId="55" applyNumberFormat="1" applyFont="1" applyFill="1" applyBorder="1"/>
    <xf numFmtId="164" fontId="68" fillId="0" borderId="0" xfId="55" applyFont="1" applyFill="1"/>
    <xf numFmtId="166" fontId="48" fillId="0" borderId="14" xfId="55" applyNumberFormat="1" applyFont="1" applyFill="1" applyBorder="1" applyAlignment="1"/>
    <xf numFmtId="166" fontId="48" fillId="0" borderId="11" xfId="55" applyNumberFormat="1" applyFont="1" applyFill="1" applyBorder="1"/>
    <xf numFmtId="166" fontId="51" fillId="0" borderId="20" xfId="55" applyNumberFormat="1" applyFont="1" applyFill="1" applyBorder="1" applyAlignment="1">
      <alignment horizontal="center" vertical="center"/>
    </xf>
    <xf numFmtId="166" fontId="51" fillId="0" borderId="10" xfId="55" applyNumberFormat="1" applyFont="1" applyFill="1" applyBorder="1" applyAlignment="1">
      <alignment horizontal="center" vertical="center"/>
    </xf>
    <xf numFmtId="166" fontId="51" fillId="0" borderId="11" xfId="59" applyNumberFormat="1" applyFont="1" applyFill="1" applyBorder="1"/>
    <xf numFmtId="43" fontId="51" fillId="0" borderId="28" xfId="59" applyFont="1" applyFill="1" applyBorder="1"/>
    <xf numFmtId="166" fontId="51" fillId="0" borderId="26" xfId="55" applyNumberFormat="1" applyFont="1" applyFill="1" applyBorder="1"/>
    <xf numFmtId="43" fontId="60" fillId="0" borderId="100" xfId="59" applyFont="1" applyFill="1" applyBorder="1"/>
    <xf numFmtId="43" fontId="60" fillId="0" borderId="11" xfId="59" applyFont="1" applyFill="1" applyBorder="1"/>
    <xf numFmtId="43" fontId="60" fillId="0" borderId="18" xfId="59" applyFont="1" applyFill="1" applyBorder="1"/>
    <xf numFmtId="43" fontId="83" fillId="0" borderId="98" xfId="59" applyFont="1" applyFill="1" applyBorder="1"/>
    <xf numFmtId="43" fontId="83" fillId="0" borderId="99" xfId="59" applyFont="1" applyFill="1" applyBorder="1"/>
    <xf numFmtId="43" fontId="83" fillId="0" borderId="103" xfId="59" applyFont="1" applyFill="1" applyBorder="1"/>
    <xf numFmtId="43" fontId="83" fillId="0" borderId="104" xfId="59" applyFont="1" applyFill="1" applyBorder="1"/>
    <xf numFmtId="43" fontId="83" fillId="0" borderId="0" xfId="59" applyFont="1" applyFill="1" applyBorder="1"/>
    <xf numFmtId="168" fontId="51" fillId="0" borderId="14" xfId="59" applyNumberFormat="1" applyFont="1" applyFill="1" applyBorder="1" applyAlignment="1">
      <alignment horizontal="center"/>
    </xf>
    <xf numFmtId="166" fontId="85" fillId="0" borderId="65" xfId="55" applyNumberFormat="1" applyFont="1" applyFill="1" applyBorder="1" applyAlignment="1">
      <alignment horizontal="left" wrapText="1"/>
    </xf>
    <xf numFmtId="166" fontId="86" fillId="0" borderId="65" xfId="55" applyNumberFormat="1" applyFont="1" applyFill="1" applyBorder="1" applyAlignment="1">
      <alignment horizontal="left" wrapText="1"/>
    </xf>
    <xf numFmtId="166" fontId="85" fillId="0" borderId="65" xfId="55" applyNumberFormat="1" applyFont="1" applyFill="1" applyBorder="1" applyAlignment="1">
      <alignment horizontal="left" vertical="top" wrapText="1"/>
    </xf>
    <xf numFmtId="166" fontId="48" fillId="0" borderId="44" xfId="55" applyNumberFormat="1" applyFont="1" applyFill="1" applyBorder="1"/>
    <xf numFmtId="166" fontId="68" fillId="0" borderId="29" xfId="55" applyNumberFormat="1" applyFont="1" applyFill="1" applyBorder="1" applyAlignment="1">
      <alignment horizontal="justify" wrapText="1"/>
    </xf>
    <xf numFmtId="166" fontId="68" fillId="0" borderId="82" xfId="55" applyNumberFormat="1" applyFont="1" applyFill="1" applyBorder="1" applyAlignment="1">
      <alignment horizontal="justify" wrapText="1"/>
    </xf>
    <xf numFmtId="166" fontId="68" fillId="0" borderId="11" xfId="55" applyNumberFormat="1" applyFont="1" applyFill="1" applyBorder="1" applyAlignment="1">
      <alignment horizontal="justify" wrapText="1"/>
    </xf>
    <xf numFmtId="166" fontId="68" fillId="0" borderId="26" xfId="55" applyNumberFormat="1" applyFont="1" applyFill="1" applyBorder="1" applyAlignment="1">
      <alignment horizontal="justify" wrapText="1"/>
    </xf>
    <xf numFmtId="166" fontId="49" fillId="0" borderId="11" xfId="55" applyNumberFormat="1" applyFont="1" applyFill="1" applyBorder="1" applyAlignment="1">
      <alignment horizontal="justify" wrapText="1"/>
    </xf>
    <xf numFmtId="166" fontId="49" fillId="0" borderId="26" xfId="55" applyNumberFormat="1" applyFont="1" applyFill="1" applyBorder="1" applyAlignment="1">
      <alignment horizontal="justify" wrapText="1"/>
    </xf>
    <xf numFmtId="166" fontId="68" fillId="0" borderId="26" xfId="55" applyNumberFormat="1" applyFont="1" applyFill="1" applyBorder="1" applyAlignment="1">
      <alignment wrapText="1"/>
    </xf>
    <xf numFmtId="164" fontId="68" fillId="0" borderId="11" xfId="55" applyFont="1" applyFill="1" applyBorder="1" applyAlignment="1">
      <alignment horizontal="justify" wrapText="1"/>
    </xf>
    <xf numFmtId="164" fontId="68" fillId="0" borderId="26" xfId="55" applyFont="1" applyFill="1" applyBorder="1" applyAlignment="1">
      <alignment horizontal="justify" wrapText="1"/>
    </xf>
    <xf numFmtId="166" fontId="51" fillId="0" borderId="11" xfId="59" applyNumberFormat="1" applyFont="1" applyFill="1" applyBorder="1" applyAlignment="1">
      <alignment horizontal="left"/>
    </xf>
    <xf numFmtId="166" fontId="51" fillId="0" borderId="28" xfId="55" applyNumberFormat="1" applyFont="1" applyFill="1" applyBorder="1" applyAlignment="1">
      <alignment horizontal="left"/>
    </xf>
    <xf numFmtId="43" fontId="51" fillId="0" borderId="28" xfId="59" applyFont="1" applyFill="1" applyBorder="1" applyAlignment="1">
      <alignment horizontal="left"/>
    </xf>
    <xf numFmtId="166" fontId="51" fillId="0" borderId="11" xfId="55" applyNumberFormat="1" applyFont="1" applyFill="1" applyBorder="1" applyAlignment="1">
      <alignment horizontal="left"/>
    </xf>
    <xf numFmtId="164" fontId="51" fillId="0" borderId="28" xfId="55" applyFont="1" applyFill="1" applyBorder="1" applyAlignment="1">
      <alignment horizontal="left"/>
    </xf>
    <xf numFmtId="166" fontId="51" fillId="0" borderId="22" xfId="55" applyNumberFormat="1" applyFont="1" applyFill="1" applyBorder="1" applyAlignment="1">
      <alignment horizontal="left"/>
    </xf>
    <xf numFmtId="168" fontId="48" fillId="0" borderId="16" xfId="55" applyNumberFormat="1" applyFont="1" applyFill="1" applyBorder="1" applyAlignment="1">
      <alignment horizontal="left"/>
    </xf>
    <xf numFmtId="168" fontId="48" fillId="0" borderId="17" xfId="55" applyNumberFormat="1" applyFont="1" applyFill="1" applyBorder="1" applyAlignment="1">
      <alignment horizontal="left"/>
    </xf>
    <xf numFmtId="168" fontId="51" fillId="0" borderId="28" xfId="59" applyNumberFormat="1" applyFont="1" applyFill="1" applyBorder="1" applyAlignment="1">
      <alignment horizontal="left"/>
    </xf>
    <xf numFmtId="168" fontId="51" fillId="0" borderId="28" xfId="59" applyNumberFormat="1" applyFont="1" applyFill="1" applyBorder="1" applyAlignment="1">
      <alignment horizontal="left" indent="1"/>
    </xf>
    <xf numFmtId="168" fontId="51" fillId="0" borderId="28" xfId="55" applyNumberFormat="1" applyFont="1" applyFill="1" applyBorder="1" applyAlignment="1">
      <alignment horizontal="left" indent="1"/>
    </xf>
    <xf numFmtId="178" fontId="51" fillId="0" borderId="11" xfId="55" applyNumberFormat="1" applyFont="1" applyFill="1" applyBorder="1"/>
    <xf numFmtId="166" fontId="68" fillId="0" borderId="62" xfId="55" applyNumberFormat="1" applyFont="1" applyFill="1" applyBorder="1" applyAlignment="1">
      <alignment vertical="center" wrapText="1"/>
    </xf>
    <xf numFmtId="166" fontId="54" fillId="0" borderId="11" xfId="55" applyNumberFormat="1" applyFont="1" applyFill="1" applyBorder="1" applyAlignment="1"/>
    <xf numFmtId="166" fontId="51" fillId="0" borderId="37" xfId="55" applyNumberFormat="1" applyFont="1" applyFill="1" applyBorder="1" applyAlignment="1">
      <alignment horizontal="center" vertical="center"/>
    </xf>
    <xf numFmtId="164" fontId="51" fillId="0" borderId="10" xfId="55" applyFont="1" applyFill="1" applyBorder="1" applyAlignment="1">
      <alignment horizontal="center" vertical="center"/>
    </xf>
    <xf numFmtId="0" fontId="23" fillId="0" borderId="0" xfId="0" applyFont="1" applyFill="1"/>
    <xf numFmtId="49" fontId="32" fillId="0" borderId="47" xfId="0" applyNumberFormat="1" applyFont="1" applyFill="1" applyBorder="1" applyAlignment="1">
      <alignment horizontal="left" vertical="top" indent="2"/>
    </xf>
    <xf numFmtId="0" fontId="50" fillId="0" borderId="15" xfId="0" applyFont="1" applyFill="1" applyBorder="1" applyAlignment="1">
      <alignment horizontal="center" vertical="center"/>
    </xf>
    <xf numFmtId="0" fontId="50" fillId="0" borderId="16" xfId="0" applyFont="1" applyFill="1" applyBorder="1" applyAlignment="1">
      <alignment horizontal="center" vertical="center"/>
    </xf>
    <xf numFmtId="166" fontId="50" fillId="0" borderId="16" xfId="0" applyNumberFormat="1" applyFont="1" applyFill="1" applyBorder="1" applyAlignment="1">
      <alignment horizontal="center" vertical="center" wrapText="1"/>
    </xf>
    <xf numFmtId="166" fontId="50" fillId="0" borderId="17" xfId="0" applyNumberFormat="1" applyFont="1" applyFill="1" applyBorder="1" applyAlignment="1">
      <alignment horizontal="center" vertical="center" wrapText="1"/>
    </xf>
    <xf numFmtId="0" fontId="54" fillId="0" borderId="55" xfId="0" applyFont="1" applyFill="1" applyBorder="1" applyAlignment="1">
      <alignment horizontal="right"/>
    </xf>
    <xf numFmtId="0" fontId="48" fillId="0" borderId="29" xfId="0" applyFont="1" applyFill="1" applyBorder="1" applyAlignment="1">
      <alignment horizontal="justify"/>
    </xf>
    <xf numFmtId="0" fontId="54" fillId="0" borderId="29" xfId="0" applyFont="1" applyFill="1" applyBorder="1" applyAlignment="1">
      <alignment horizontal="center"/>
    </xf>
    <xf numFmtId="166" fontId="54" fillId="0" borderId="29" xfId="0" applyNumberFormat="1" applyFont="1" applyFill="1" applyBorder="1" applyAlignment="1">
      <alignment horizontal="justify"/>
    </xf>
    <xf numFmtId="164" fontId="54" fillId="0" borderId="82" xfId="0" applyNumberFormat="1" applyFont="1" applyFill="1" applyBorder="1" applyAlignment="1">
      <alignment horizontal="justify"/>
    </xf>
    <xf numFmtId="49" fontId="50" fillId="0" borderId="27" xfId="0" applyNumberFormat="1" applyFont="1" applyFill="1" applyBorder="1" applyAlignment="1">
      <alignment horizontal="center" vertical="center"/>
    </xf>
    <xf numFmtId="0" fontId="48" fillId="0" borderId="11" xfId="0" applyFont="1" applyFill="1" applyBorder="1" applyAlignment="1">
      <alignment horizontal="justify"/>
    </xf>
    <xf numFmtId="0" fontId="54" fillId="0" borderId="11" xfId="0" applyFont="1" applyFill="1" applyBorder="1" applyAlignment="1">
      <alignment horizontal="center"/>
    </xf>
    <xf numFmtId="0" fontId="54" fillId="0" borderId="27" xfId="0" applyFont="1" applyFill="1" applyBorder="1" applyAlignment="1">
      <alignment horizontal="center"/>
    </xf>
    <xf numFmtId="0" fontId="54" fillId="0" borderId="11" xfId="0" applyFont="1" applyFill="1" applyBorder="1" applyAlignment="1">
      <alignment horizontal="justify"/>
    </xf>
    <xf numFmtId="166" fontId="23" fillId="0" borderId="0" xfId="0" applyNumberFormat="1" applyFont="1" applyFill="1"/>
    <xf numFmtId="0" fontId="54" fillId="0" borderId="11" xfId="0" applyFont="1" applyFill="1" applyBorder="1" applyAlignment="1">
      <alignment horizontal="left"/>
    </xf>
    <xf numFmtId="0" fontId="50" fillId="0" borderId="27" xfId="0" applyFont="1" applyFill="1" applyBorder="1" applyAlignment="1">
      <alignment horizontal="center"/>
    </xf>
    <xf numFmtId="0" fontId="51" fillId="0" borderId="11" xfId="0" applyFont="1" applyFill="1" applyBorder="1" applyAlignment="1">
      <alignment horizontal="center"/>
    </xf>
    <xf numFmtId="0" fontId="50" fillId="0" borderId="27" xfId="0" applyFont="1" applyFill="1" applyBorder="1" applyAlignment="1">
      <alignment horizontal="right"/>
    </xf>
    <xf numFmtId="0" fontId="50" fillId="0" borderId="11" xfId="0" applyFont="1" applyFill="1" applyBorder="1" applyAlignment="1">
      <alignment horizontal="left"/>
    </xf>
    <xf numFmtId="0" fontId="54" fillId="0" borderId="27" xfId="0" applyFont="1" applyFill="1" applyBorder="1" applyAlignment="1">
      <alignment horizontal="right"/>
    </xf>
    <xf numFmtId="0" fontId="51" fillId="0" borderId="27" xfId="0" applyFont="1" applyFill="1" applyBorder="1" applyAlignment="1">
      <alignment horizontal="right"/>
    </xf>
    <xf numFmtId="0" fontId="50" fillId="0" borderId="11" xfId="0" applyFont="1" applyFill="1" applyBorder="1" applyAlignment="1">
      <alignment horizontal="justify"/>
    </xf>
    <xf numFmtId="0" fontId="48" fillId="0" borderId="27" xfId="0" quotePrefix="1" applyFont="1" applyFill="1" applyBorder="1" applyAlignment="1">
      <alignment horizontal="center" vertical="center"/>
    </xf>
    <xf numFmtId="0" fontId="51" fillId="0" borderId="27" xfId="0" applyFont="1" applyFill="1" applyBorder="1" applyAlignment="1">
      <alignment horizontal="center"/>
    </xf>
    <xf numFmtId="0" fontId="54" fillId="0" borderId="11" xfId="0" applyFont="1" applyFill="1" applyBorder="1"/>
    <xf numFmtId="164" fontId="23" fillId="0" borderId="0" xfId="0" applyNumberFormat="1" applyFont="1" applyFill="1"/>
    <xf numFmtId="49" fontId="54" fillId="0" borderId="11" xfId="0" applyNumberFormat="1" applyFont="1" applyFill="1" applyBorder="1" applyAlignment="1">
      <alignment vertical="top"/>
    </xf>
    <xf numFmtId="0" fontId="48" fillId="0" borderId="28" xfId="0" quotePrefix="1" applyFont="1" applyFill="1" applyBorder="1" applyAlignment="1">
      <alignment horizontal="center" vertical="center"/>
    </xf>
    <xf numFmtId="0" fontId="48" fillId="0" borderId="27" xfId="0" quotePrefix="1" applyFont="1" applyFill="1" applyBorder="1" applyAlignment="1">
      <alignment horizontal="center"/>
    </xf>
    <xf numFmtId="0" fontId="51" fillId="0" borderId="11" xfId="0" applyFont="1" applyFill="1" applyBorder="1" applyAlignment="1">
      <alignment horizontal="justify"/>
    </xf>
    <xf numFmtId="0" fontId="50" fillId="0" borderId="32" xfId="0" applyFont="1" applyFill="1" applyBorder="1" applyAlignment="1">
      <alignment horizontal="right"/>
    </xf>
    <xf numFmtId="0" fontId="50" fillId="0" borderId="34" xfId="0" applyFont="1" applyFill="1" applyBorder="1" applyAlignment="1">
      <alignment horizontal="justify" wrapText="1"/>
    </xf>
    <xf numFmtId="49" fontId="54" fillId="0" borderId="34" xfId="0" applyNumberFormat="1" applyFont="1" applyFill="1" applyBorder="1" applyAlignment="1">
      <alignment horizontal="center" vertical="center"/>
    </xf>
    <xf numFmtId="166" fontId="54" fillId="0" borderId="34" xfId="0" applyNumberFormat="1" applyFont="1" applyFill="1" applyBorder="1" applyAlignment="1">
      <alignment horizontal="justify"/>
    </xf>
    <xf numFmtId="164" fontId="54" fillId="0" borderId="58" xfId="0" applyNumberFormat="1" applyFont="1" applyFill="1" applyBorder="1" applyAlignment="1">
      <alignment horizontal="justify"/>
    </xf>
    <xf numFmtId="0" fontId="51" fillId="0" borderId="21" xfId="0" applyFont="1" applyFill="1" applyBorder="1"/>
    <xf numFmtId="0" fontId="51" fillId="0" borderId="0" xfId="0" applyFont="1" applyFill="1"/>
    <xf numFmtId="166" fontId="51" fillId="0" borderId="0" xfId="0" applyNumberFormat="1" applyFont="1" applyFill="1"/>
    <xf numFmtId="164" fontId="51" fillId="0" borderId="22" xfId="0" applyNumberFormat="1" applyFont="1" applyFill="1" applyBorder="1"/>
    <xf numFmtId="0" fontId="52" fillId="0" borderId="0" xfId="0" applyFont="1" applyFill="1" applyAlignment="1">
      <alignment vertical="center"/>
    </xf>
    <xf numFmtId="43" fontId="23" fillId="0" borderId="0" xfId="0" applyNumberFormat="1" applyFont="1" applyFill="1"/>
    <xf numFmtId="0" fontId="53" fillId="0" borderId="0" xfId="0" applyFont="1" applyFill="1" applyAlignment="1">
      <alignment vertical="center"/>
    </xf>
    <xf numFmtId="0" fontId="48" fillId="0" borderId="0" xfId="0" applyFont="1" applyFill="1"/>
    <xf numFmtId="166" fontId="48" fillId="0" borderId="22" xfId="0" applyNumberFormat="1" applyFont="1" applyFill="1" applyBorder="1"/>
    <xf numFmtId="166" fontId="51" fillId="0" borderId="22" xfId="0" applyNumberFormat="1" applyFont="1" applyFill="1" applyBorder="1"/>
    <xf numFmtId="14" fontId="51" fillId="0" borderId="0" xfId="0" applyNumberFormat="1" applyFont="1" applyFill="1" applyAlignment="1">
      <alignment horizontal="left"/>
    </xf>
    <xf numFmtId="0" fontId="48" fillId="0" borderId="21" xfId="0" applyFont="1" applyFill="1" applyBorder="1"/>
    <xf numFmtId="0" fontId="37" fillId="0" borderId="0" xfId="0" applyFont="1" applyFill="1"/>
    <xf numFmtId="0" fontId="51" fillId="0" borderId="23" xfId="0" applyFont="1" applyFill="1" applyBorder="1"/>
    <xf numFmtId="0" fontId="51" fillId="0" borderId="24" xfId="0" applyFont="1" applyFill="1" applyBorder="1"/>
    <xf numFmtId="166" fontId="51" fillId="0" borderId="24" xfId="0" applyNumberFormat="1" applyFont="1" applyFill="1" applyBorder="1"/>
    <xf numFmtId="164" fontId="51" fillId="0" borderId="25" xfId="0" applyNumberFormat="1" applyFont="1" applyFill="1" applyBorder="1"/>
    <xf numFmtId="0" fontId="49" fillId="0" borderId="15" xfId="0" applyFont="1" applyFill="1" applyBorder="1" applyAlignment="1">
      <alignment horizontal="center" vertical="center"/>
    </xf>
    <xf numFmtId="0" fontId="49" fillId="0" borderId="16" xfId="0" applyFont="1" applyFill="1" applyBorder="1" applyAlignment="1">
      <alignment horizontal="center" vertical="center"/>
    </xf>
    <xf numFmtId="0" fontId="49" fillId="0" borderId="16" xfId="0" applyFont="1" applyFill="1" applyBorder="1" applyAlignment="1">
      <alignment horizontal="center" vertical="center" wrapText="1"/>
    </xf>
    <xf numFmtId="0" fontId="49" fillId="0" borderId="17" xfId="0" applyFont="1" applyFill="1" applyBorder="1" applyAlignment="1">
      <alignment horizontal="center" vertical="center" wrapText="1"/>
    </xf>
    <xf numFmtId="0" fontId="23" fillId="0" borderId="0" xfId="0" applyFont="1" applyFill="1" applyAlignment="1">
      <alignment wrapText="1"/>
    </xf>
    <xf numFmtId="0" fontId="68" fillId="0" borderId="55" xfId="0" applyFont="1" applyFill="1" applyBorder="1" applyAlignment="1">
      <alignment horizontal="justify" wrapText="1"/>
    </xf>
    <xf numFmtId="0" fontId="49" fillId="0" borderId="29" xfId="0" applyFont="1" applyFill="1" applyBorder="1" applyAlignment="1">
      <alignment horizontal="justify" wrapText="1"/>
    </xf>
    <xf numFmtId="0" fontId="68" fillId="0" borderId="29" xfId="0" applyFont="1" applyFill="1" applyBorder="1" applyAlignment="1">
      <alignment horizontal="center" vertical="center" wrapText="1"/>
    </xf>
    <xf numFmtId="0" fontId="68" fillId="0" borderId="27" xfId="0" applyFont="1" applyFill="1" applyBorder="1" applyAlignment="1">
      <alignment horizontal="center" wrapText="1"/>
    </xf>
    <xf numFmtId="0" fontId="68" fillId="0" borderId="11" xfId="0" applyFont="1" applyFill="1" applyBorder="1" applyAlignment="1">
      <alignment horizontal="justify" wrapText="1"/>
    </xf>
    <xf numFmtId="0" fontId="68" fillId="0" borderId="11" xfId="0" applyFont="1" applyFill="1" applyBorder="1" applyAlignment="1">
      <alignment horizontal="center" vertical="center" wrapText="1"/>
    </xf>
    <xf numFmtId="166" fontId="23" fillId="0" borderId="0" xfId="0" applyNumberFormat="1" applyFont="1" applyFill="1" applyAlignment="1">
      <alignment wrapText="1"/>
    </xf>
    <xf numFmtId="0" fontId="68" fillId="0" borderId="11" xfId="0" applyFont="1" applyFill="1" applyBorder="1" applyAlignment="1">
      <alignment horizontal="justify" vertical="top" wrapText="1"/>
    </xf>
    <xf numFmtId="0" fontId="49" fillId="0" borderId="27" xfId="0" applyFont="1" applyFill="1" applyBorder="1" applyAlignment="1">
      <alignment horizontal="center" wrapText="1"/>
    </xf>
    <xf numFmtId="0" fontId="49" fillId="0" borderId="11" xfId="0" applyFont="1" applyFill="1" applyBorder="1" applyAlignment="1">
      <alignment horizontal="justify" wrapText="1"/>
    </xf>
    <xf numFmtId="0" fontId="49" fillId="0" borderId="11" xfId="0" applyFont="1" applyFill="1" applyBorder="1" applyAlignment="1">
      <alignment horizontal="center" vertical="center" wrapText="1"/>
    </xf>
    <xf numFmtId="0" fontId="68" fillId="0" borderId="11" xfId="0" applyFont="1" applyFill="1" applyBorder="1" applyAlignment="1">
      <alignment horizontal="center" wrapText="1"/>
    </xf>
    <xf numFmtId="166" fontId="68" fillId="0" borderId="11" xfId="0" applyNumberFormat="1" applyFont="1" applyFill="1" applyBorder="1" applyAlignment="1">
      <alignment horizontal="justify" wrapText="1"/>
    </xf>
    <xf numFmtId="0" fontId="49" fillId="0" borderId="11" xfId="0" applyFont="1" applyFill="1" applyBorder="1" applyAlignment="1">
      <alignment horizontal="justify" vertical="top" wrapText="1"/>
    </xf>
    <xf numFmtId="164" fontId="23" fillId="0" borderId="0" xfId="55" applyFont="1" applyFill="1" applyAlignment="1">
      <alignment wrapText="1"/>
    </xf>
    <xf numFmtId="0" fontId="68" fillId="0" borderId="27" xfId="0" applyFont="1" applyFill="1" applyBorder="1" applyAlignment="1">
      <alignment wrapText="1"/>
    </xf>
    <xf numFmtId="175" fontId="23" fillId="0" borderId="0" xfId="0" applyNumberFormat="1" applyFont="1" applyFill="1" applyAlignment="1">
      <alignment wrapText="1"/>
    </xf>
    <xf numFmtId="0" fontId="49" fillId="0" borderId="27" xfId="0" applyFont="1" applyFill="1" applyBorder="1" applyAlignment="1">
      <alignment horizontal="center" vertical="center" wrapText="1"/>
    </xf>
    <xf numFmtId="0" fontId="68" fillId="0" borderId="27" xfId="0" applyFont="1" applyFill="1" applyBorder="1" applyAlignment="1">
      <alignment horizontal="justify" wrapText="1"/>
    </xf>
    <xf numFmtId="0" fontId="68" fillId="0" borderId="11" xfId="0" applyFont="1" applyFill="1" applyBorder="1" applyAlignment="1">
      <alignment wrapText="1"/>
    </xf>
    <xf numFmtId="0" fontId="68" fillId="0" borderId="26" xfId="0" applyFont="1" applyFill="1" applyBorder="1" applyAlignment="1">
      <alignment wrapText="1"/>
    </xf>
    <xf numFmtId="0" fontId="68" fillId="0" borderId="32" xfId="0" applyFont="1" applyFill="1" applyBorder="1" applyAlignment="1">
      <alignment horizontal="justify" wrapText="1"/>
    </xf>
    <xf numFmtId="0" fontId="49" fillId="0" borderId="34" xfId="0" applyFont="1" applyFill="1" applyBorder="1" applyAlignment="1">
      <alignment wrapText="1"/>
    </xf>
    <xf numFmtId="49" fontId="68" fillId="0" borderId="34" xfId="0" applyNumberFormat="1" applyFont="1" applyFill="1" applyBorder="1" applyAlignment="1">
      <alignment horizontal="center" vertical="center" wrapText="1"/>
    </xf>
    <xf numFmtId="0" fontId="68" fillId="0" borderId="34" xfId="0" applyFont="1" applyFill="1" applyBorder="1" applyAlignment="1">
      <alignment wrapText="1"/>
    </xf>
    <xf numFmtId="0" fontId="68" fillId="0" borderId="58" xfId="0" applyFont="1" applyFill="1" applyBorder="1" applyAlignment="1">
      <alignment wrapText="1"/>
    </xf>
    <xf numFmtId="0" fontId="68" fillId="0" borderId="21" xfId="0" applyFont="1" applyFill="1" applyBorder="1" applyAlignment="1">
      <alignment wrapText="1"/>
    </xf>
    <xf numFmtId="0" fontId="68" fillId="0" borderId="0" xfId="0" applyFont="1" applyFill="1" applyAlignment="1">
      <alignment wrapText="1"/>
    </xf>
    <xf numFmtId="0" fontId="68" fillId="0" borderId="22" xfId="0" applyFont="1" applyFill="1" applyBorder="1" applyAlignment="1">
      <alignment wrapText="1"/>
    </xf>
    <xf numFmtId="0" fontId="68" fillId="0" borderId="0" xfId="0" applyFont="1" applyFill="1"/>
    <xf numFmtId="0" fontId="25" fillId="0" borderId="0" xfId="0" applyFont="1" applyFill="1"/>
    <xf numFmtId="0" fontId="68" fillId="0" borderId="22" xfId="0" applyFont="1" applyFill="1" applyBorder="1"/>
    <xf numFmtId="0" fontId="68" fillId="0" borderId="21" xfId="0" applyFont="1" applyFill="1" applyBorder="1"/>
    <xf numFmtId="166" fontId="68" fillId="0" borderId="0" xfId="0" applyNumberFormat="1" applyFont="1" applyFill="1"/>
    <xf numFmtId="0" fontId="49" fillId="0" borderId="0" xfId="0" applyFont="1" applyFill="1"/>
    <xf numFmtId="166" fontId="49" fillId="0" borderId="22" xfId="0" applyNumberFormat="1" applyFont="1" applyFill="1" applyBorder="1"/>
    <xf numFmtId="166" fontId="68" fillId="0" borderId="22" xfId="0" applyNumberFormat="1" applyFont="1" applyFill="1" applyBorder="1"/>
    <xf numFmtId="164" fontId="68" fillId="0" borderId="22" xfId="0" applyNumberFormat="1" applyFont="1" applyFill="1" applyBorder="1"/>
    <xf numFmtId="0" fontId="51" fillId="0" borderId="0" xfId="0" applyFont="1" applyFill="1" applyAlignment="1">
      <alignment wrapText="1"/>
    </xf>
    <xf numFmtId="0" fontId="51" fillId="0" borderId="22" xfId="0" applyFont="1" applyFill="1" applyBorder="1" applyAlignment="1">
      <alignment wrapText="1"/>
    </xf>
    <xf numFmtId="0" fontId="51" fillId="0" borderId="23" xfId="0" applyFont="1" applyFill="1" applyBorder="1" applyAlignment="1">
      <alignment wrapText="1"/>
    </xf>
    <xf numFmtId="0" fontId="51" fillId="0" borderId="24" xfId="0" applyFont="1" applyFill="1" applyBorder="1" applyAlignment="1">
      <alignment wrapText="1"/>
    </xf>
    <xf numFmtId="0" fontId="51" fillId="0" borderId="25" xfId="0" applyFont="1" applyFill="1" applyBorder="1" applyAlignment="1">
      <alignment wrapText="1"/>
    </xf>
    <xf numFmtId="0" fontId="23" fillId="0" borderId="0" xfId="0" applyFont="1" applyBorder="1"/>
    <xf numFmtId="166" fontId="23" fillId="0" borderId="0" xfId="0" applyNumberFormat="1" applyFont="1" applyBorder="1"/>
    <xf numFmtId="166" fontId="24" fillId="0" borderId="0" xfId="55" applyNumberFormat="1" applyFont="1" applyFill="1" applyBorder="1" applyAlignment="1">
      <alignment horizontal="justify"/>
    </xf>
    <xf numFmtId="43" fontId="23" fillId="0" borderId="0" xfId="0" applyNumberFormat="1" applyFont="1" applyBorder="1"/>
    <xf numFmtId="0" fontId="49" fillId="0" borderId="14" xfId="0" applyFont="1" applyFill="1" applyBorder="1" applyAlignment="1">
      <alignment horizontal="center"/>
    </xf>
    <xf numFmtId="0" fontId="51" fillId="0" borderId="10" xfId="0" applyFont="1" applyFill="1" applyBorder="1"/>
    <xf numFmtId="0" fontId="51" fillId="0" borderId="28" xfId="0" applyFont="1" applyFill="1" applyBorder="1"/>
    <xf numFmtId="0" fontId="51" fillId="0" borderId="35" xfId="0" applyFont="1" applyFill="1" applyBorder="1"/>
    <xf numFmtId="0" fontId="51" fillId="0" borderId="36" xfId="0" applyFont="1" applyFill="1" applyBorder="1"/>
    <xf numFmtId="0" fontId="51" fillId="0" borderId="30" xfId="0" applyFont="1" applyFill="1" applyBorder="1"/>
    <xf numFmtId="166" fontId="48" fillId="0" borderId="18" xfId="55" applyNumberFormat="1" applyFont="1" applyFill="1" applyBorder="1"/>
    <xf numFmtId="0" fontId="49" fillId="0" borderId="14" xfId="0" applyFont="1" applyFill="1" applyBorder="1" applyAlignment="1">
      <alignment horizontal="center" vertical="center" wrapText="1"/>
    </xf>
    <xf numFmtId="0" fontId="51" fillId="0" borderId="37" xfId="0" applyFont="1" applyFill="1" applyBorder="1"/>
    <xf numFmtId="0" fontId="51" fillId="0" borderId="38" xfId="0" applyFont="1" applyFill="1" applyBorder="1"/>
    <xf numFmtId="0" fontId="51" fillId="0" borderId="39" xfId="0" applyFont="1" applyFill="1" applyBorder="1"/>
    <xf numFmtId="0" fontId="48" fillId="0" borderId="12" xfId="0" applyFont="1" applyFill="1" applyBorder="1"/>
    <xf numFmtId="0" fontId="48" fillId="0" borderId="13" xfId="0" applyFont="1" applyFill="1" applyBorder="1"/>
    <xf numFmtId="0" fontId="48" fillId="0" borderId="40" xfId="0" applyFont="1" applyFill="1" applyBorder="1"/>
    <xf numFmtId="0" fontId="23" fillId="0" borderId="0" xfId="0" applyFont="1" applyFill="1" applyAlignment="1">
      <alignment vertical="top"/>
    </xf>
    <xf numFmtId="0" fontId="51" fillId="0" borderId="0" xfId="0" applyFont="1" applyFill="1" applyAlignment="1">
      <alignment vertical="top"/>
    </xf>
    <xf numFmtId="0" fontId="51" fillId="0" borderId="0" xfId="0" quotePrefix="1" applyFont="1" applyFill="1" applyAlignment="1">
      <alignment vertical="top"/>
    </xf>
    <xf numFmtId="0" fontId="48" fillId="0" borderId="0" xfId="0" applyFont="1" applyFill="1" applyAlignment="1">
      <alignment vertical="top"/>
    </xf>
    <xf numFmtId="0" fontId="23" fillId="0" borderId="0" xfId="0" applyFont="1" applyFill="1" applyAlignment="1">
      <alignment vertical="top" wrapText="1"/>
    </xf>
    <xf numFmtId="0" fontId="51" fillId="0" borderId="0" xfId="0" applyFont="1" applyFill="1" applyAlignment="1">
      <alignment vertical="top" wrapText="1"/>
    </xf>
    <xf numFmtId="0" fontId="51" fillId="0" borderId="0" xfId="0" applyFont="1" applyFill="1" applyAlignment="1">
      <alignment horizontal="justify" vertical="top" wrapText="1"/>
    </xf>
    <xf numFmtId="0" fontId="48" fillId="0" borderId="0" xfId="0" quotePrefix="1" applyFont="1" applyFill="1" applyAlignment="1">
      <alignment vertical="top"/>
    </xf>
    <xf numFmtId="0" fontId="64" fillId="0" borderId="0" xfId="0" applyFont="1" applyFill="1" applyAlignment="1">
      <alignment vertical="top"/>
    </xf>
    <xf numFmtId="0" fontId="65" fillId="0" borderId="0" xfId="0" applyFont="1" applyFill="1" applyAlignment="1">
      <alignment vertical="top" wrapText="1"/>
    </xf>
    <xf numFmtId="0" fontId="65" fillId="0" borderId="0" xfId="0" applyFont="1" applyFill="1" applyAlignment="1">
      <alignment vertical="top"/>
    </xf>
    <xf numFmtId="0" fontId="28" fillId="0" borderId="0" xfId="0" applyFont="1" applyFill="1" applyAlignment="1">
      <alignment vertical="top"/>
    </xf>
    <xf numFmtId="0" fontId="28" fillId="0" borderId="0" xfId="0" applyFont="1" applyFill="1" applyAlignment="1">
      <alignment vertical="top" wrapText="1"/>
    </xf>
    <xf numFmtId="0" fontId="48" fillId="0" borderId="0" xfId="0" applyFont="1" applyFill="1" applyAlignment="1">
      <alignment horizontal="center" vertical="top"/>
    </xf>
    <xf numFmtId="0" fontId="71" fillId="0" borderId="0" xfId="0" applyFont="1" applyFill="1"/>
    <xf numFmtId="166" fontId="49" fillId="0" borderId="14" xfId="0" applyNumberFormat="1" applyFont="1" applyFill="1" applyBorder="1" applyAlignment="1">
      <alignment horizontal="center" wrapText="1"/>
    </xf>
    <xf numFmtId="0" fontId="49" fillId="0" borderId="14" xfId="0" applyFont="1" applyFill="1" applyBorder="1" applyAlignment="1">
      <alignment horizontal="center" wrapText="1"/>
    </xf>
    <xf numFmtId="0" fontId="68" fillId="0" borderId="37" xfId="0" applyFont="1" applyFill="1" applyBorder="1"/>
    <xf numFmtId="0" fontId="68" fillId="0" borderId="38" xfId="0" applyFont="1" applyFill="1" applyBorder="1"/>
    <xf numFmtId="0" fontId="68" fillId="0" borderId="39" xfId="0" applyFont="1" applyFill="1" applyBorder="1"/>
    <xf numFmtId="0" fontId="68" fillId="0" borderId="10" xfId="0" applyFont="1" applyFill="1" applyBorder="1"/>
    <xf numFmtId="0" fontId="68" fillId="0" borderId="28" xfId="0" applyFont="1" applyFill="1" applyBorder="1"/>
    <xf numFmtId="0" fontId="49" fillId="0" borderId="12" xfId="0" applyFont="1" applyFill="1" applyBorder="1"/>
    <xf numFmtId="0" fontId="49" fillId="0" borderId="13" xfId="0" applyFont="1" applyFill="1" applyBorder="1"/>
    <xf numFmtId="0" fontId="68" fillId="0" borderId="96" xfId="0" applyFont="1" applyFill="1" applyBorder="1"/>
    <xf numFmtId="166" fontId="68" fillId="0" borderId="96" xfId="0" applyNumberFormat="1" applyFont="1" applyFill="1" applyBorder="1"/>
    <xf numFmtId="0" fontId="68" fillId="0" borderId="35" xfId="0" applyFont="1" applyFill="1" applyBorder="1"/>
    <xf numFmtId="0" fontId="68" fillId="0" borderId="36" xfId="0" applyFont="1" applyFill="1" applyBorder="1"/>
    <xf numFmtId="166" fontId="68" fillId="0" borderId="35" xfId="0" applyNumberFormat="1" applyFont="1" applyFill="1" applyBorder="1"/>
    <xf numFmtId="0" fontId="49" fillId="0" borderId="37" xfId="0" applyFont="1" applyFill="1" applyBorder="1"/>
    <xf numFmtId="166" fontId="68" fillId="0" borderId="20" xfId="0" applyNumberFormat="1" applyFont="1" applyFill="1" applyBorder="1"/>
    <xf numFmtId="0" fontId="68" fillId="0" borderId="20" xfId="0" applyFont="1" applyFill="1" applyBorder="1"/>
    <xf numFmtId="0" fontId="49" fillId="0" borderId="10" xfId="0" applyFont="1" applyFill="1" applyBorder="1"/>
    <xf numFmtId="166" fontId="68" fillId="0" borderId="11" xfId="0" applyNumberFormat="1" applyFont="1" applyFill="1" applyBorder="1"/>
    <xf numFmtId="0" fontId="68" fillId="0" borderId="11" xfId="0" applyFont="1" applyFill="1" applyBorder="1"/>
    <xf numFmtId="166" fontId="49" fillId="0" borderId="11" xfId="0" applyNumberFormat="1" applyFont="1" applyFill="1" applyBorder="1"/>
    <xf numFmtId="0" fontId="49" fillId="0" borderId="35" xfId="0" applyFont="1" applyFill="1" applyBorder="1"/>
    <xf numFmtId="0" fontId="68" fillId="0" borderId="30" xfId="0" applyFont="1" applyFill="1" applyBorder="1"/>
    <xf numFmtId="166" fontId="49" fillId="0" borderId="18" xfId="0" applyNumberFormat="1" applyFont="1" applyFill="1" applyBorder="1"/>
    <xf numFmtId="0" fontId="68" fillId="0" borderId="13" xfId="0" applyFont="1" applyFill="1" applyBorder="1"/>
    <xf numFmtId="0" fontId="68" fillId="0" borderId="40" xfId="0" applyFont="1" applyFill="1" applyBorder="1"/>
    <xf numFmtId="0" fontId="70" fillId="0" borderId="59" xfId="0" applyFont="1" applyFill="1" applyBorder="1" applyAlignment="1">
      <alignment horizontal="center" vertical="center" wrapText="1"/>
    </xf>
    <xf numFmtId="166" fontId="73" fillId="0" borderId="59" xfId="0" applyNumberFormat="1" applyFont="1" applyFill="1" applyBorder="1" applyAlignment="1">
      <alignment horizontal="center" vertical="center" wrapText="1"/>
    </xf>
    <xf numFmtId="0" fontId="49" fillId="0" borderId="37" xfId="0" applyFont="1" applyFill="1" applyBorder="1" applyAlignment="1">
      <alignment horizontal="left" vertical="center"/>
    </xf>
    <xf numFmtId="0" fontId="49" fillId="0" borderId="38" xfId="0" applyFont="1" applyFill="1" applyBorder="1" applyAlignment="1">
      <alignment horizontal="center" vertical="center"/>
    </xf>
    <xf numFmtId="0" fontId="49" fillId="0" borderId="39" xfId="0" applyFont="1" applyFill="1" applyBorder="1" applyAlignment="1">
      <alignment horizontal="center" vertical="center"/>
    </xf>
    <xf numFmtId="0" fontId="49" fillId="0" borderId="20" xfId="0" applyFont="1" applyFill="1" applyBorder="1" applyAlignment="1">
      <alignment horizontal="center" vertical="center" wrapText="1"/>
    </xf>
    <xf numFmtId="0" fontId="49" fillId="0" borderId="28" xfId="0" applyFont="1" applyFill="1" applyBorder="1"/>
    <xf numFmtId="0" fontId="49" fillId="0" borderId="11" xfId="0" applyFont="1" applyFill="1" applyBorder="1"/>
    <xf numFmtId="171" fontId="68" fillId="0" borderId="0" xfId="0" applyNumberFormat="1" applyFont="1" applyFill="1"/>
    <xf numFmtId="3" fontId="68" fillId="0" borderId="0" xfId="0" applyNumberFormat="1" applyFont="1" applyFill="1"/>
    <xf numFmtId="0" fontId="49" fillId="0" borderId="40" xfId="0" applyFont="1" applyFill="1" applyBorder="1"/>
    <xf numFmtId="0" fontId="49" fillId="0" borderId="14" xfId="0" applyFont="1" applyFill="1" applyBorder="1"/>
    <xf numFmtId="166" fontId="49" fillId="0" borderId="0" xfId="0" applyNumberFormat="1" applyFont="1" applyFill="1"/>
    <xf numFmtId="0" fontId="70" fillId="0" borderId="0" xfId="0" applyFont="1" applyFill="1" applyAlignment="1">
      <alignment horizontal="left" vertical="top"/>
    </xf>
    <xf numFmtId="166" fontId="49" fillId="0" borderId="92" xfId="0" applyNumberFormat="1" applyFont="1" applyFill="1" applyBorder="1" applyAlignment="1">
      <alignment horizontal="center" wrapText="1"/>
    </xf>
    <xf numFmtId="0" fontId="49" fillId="0" borderId="92" xfId="0" applyFont="1" applyFill="1" applyBorder="1" applyAlignment="1">
      <alignment horizontal="center" wrapText="1"/>
    </xf>
    <xf numFmtId="0" fontId="68" fillId="0" borderId="107" xfId="0" applyFont="1" applyFill="1" applyBorder="1"/>
    <xf numFmtId="0" fontId="68" fillId="0" borderId="108" xfId="0" applyFont="1" applyFill="1" applyBorder="1"/>
    <xf numFmtId="0" fontId="68" fillId="0" borderId="105" xfId="0" applyFont="1" applyFill="1" applyBorder="1"/>
    <xf numFmtId="166" fontId="68" fillId="0" borderId="107" xfId="0" applyNumberFormat="1" applyFont="1" applyFill="1" applyBorder="1"/>
    <xf numFmtId="166" fontId="68" fillId="0" borderId="100" xfId="0" applyNumberFormat="1" applyFont="1" applyFill="1" applyBorder="1"/>
    <xf numFmtId="166" fontId="68" fillId="0" borderId="10" xfId="0" applyNumberFormat="1" applyFont="1" applyFill="1" applyBorder="1"/>
    <xf numFmtId="166" fontId="68" fillId="0" borderId="18" xfId="0" applyNumberFormat="1" applyFont="1" applyFill="1" applyBorder="1"/>
    <xf numFmtId="0" fontId="49" fillId="0" borderId="93" xfId="0" applyFont="1" applyFill="1" applyBorder="1"/>
    <xf numFmtId="0" fontId="49" fillId="0" borderId="94" xfId="0" applyFont="1" applyFill="1" applyBorder="1"/>
    <xf numFmtId="0" fontId="49" fillId="0" borderId="95" xfId="0" applyFont="1" applyFill="1" applyBorder="1"/>
    <xf numFmtId="164" fontId="68" fillId="0" borderId="0" xfId="0" applyNumberFormat="1" applyFont="1" applyFill="1"/>
    <xf numFmtId="0" fontId="49" fillId="0" borderId="0" xfId="0" applyFont="1" applyFill="1" applyAlignment="1">
      <alignment wrapText="1"/>
    </xf>
    <xf numFmtId="0" fontId="49" fillId="0" borderId="61" xfId="0" applyFont="1" applyFill="1" applyBorder="1" applyAlignment="1">
      <alignment horizontal="center" vertical="center" wrapText="1"/>
    </xf>
    <xf numFmtId="166" fontId="49" fillId="0" borderId="61" xfId="0" applyNumberFormat="1" applyFont="1" applyFill="1" applyBorder="1" applyAlignment="1">
      <alignment horizontal="center" vertical="center" wrapText="1"/>
    </xf>
    <xf numFmtId="0" fontId="49" fillId="0" borderId="62" xfId="0" applyFont="1" applyFill="1" applyBorder="1" applyAlignment="1">
      <alignment horizontal="left" vertical="top"/>
    </xf>
    <xf numFmtId="166" fontId="68" fillId="0" borderId="59" xfId="0" applyNumberFormat="1" applyFont="1" applyFill="1" applyBorder="1" applyAlignment="1">
      <alignment horizontal="left" wrapText="1"/>
    </xf>
    <xf numFmtId="0" fontId="68" fillId="0" borderId="62" xfId="0" applyFont="1" applyFill="1" applyBorder="1" applyAlignment="1">
      <alignment horizontal="left" vertical="top"/>
    </xf>
    <xf numFmtId="0" fontId="49" fillId="0" borderId="63" xfId="0" applyFont="1" applyFill="1" applyBorder="1" applyAlignment="1">
      <alignment horizontal="left" vertical="top"/>
    </xf>
    <xf numFmtId="166" fontId="49" fillId="0" borderId="60" xfId="0" applyNumberFormat="1" applyFont="1" applyFill="1" applyBorder="1" applyAlignment="1">
      <alignment horizontal="right" vertical="top" shrinkToFit="1"/>
    </xf>
    <xf numFmtId="0" fontId="73" fillId="0" borderId="61" xfId="0" applyFont="1" applyFill="1" applyBorder="1" applyAlignment="1">
      <alignment horizontal="center" vertical="center" wrapText="1"/>
    </xf>
    <xf numFmtId="166" fontId="73" fillId="0" borderId="61" xfId="0" applyNumberFormat="1" applyFont="1" applyFill="1" applyBorder="1" applyAlignment="1">
      <alignment horizontal="center" vertical="center" wrapText="1"/>
    </xf>
    <xf numFmtId="0" fontId="73" fillId="0" borderId="62" xfId="0" applyFont="1" applyFill="1" applyBorder="1" applyAlignment="1">
      <alignment horizontal="left" vertical="top"/>
    </xf>
    <xf numFmtId="0" fontId="75" fillId="0" borderId="62" xfId="0" applyFont="1" applyFill="1" applyBorder="1" applyAlignment="1">
      <alignment horizontal="left" vertical="top"/>
    </xf>
    <xf numFmtId="0" fontId="73" fillId="0" borderId="97" xfId="0" applyFont="1" applyFill="1" applyBorder="1" applyAlignment="1">
      <alignment horizontal="left" vertical="top"/>
    </xf>
    <xf numFmtId="0" fontId="68" fillId="0" borderId="80" xfId="0" applyFont="1" applyFill="1" applyBorder="1"/>
    <xf numFmtId="0" fontId="68" fillId="0" borderId="79" xfId="0" applyFont="1" applyFill="1" applyBorder="1"/>
    <xf numFmtId="166" fontId="73" fillId="0" borderId="60" xfId="0" applyNumberFormat="1" applyFont="1" applyFill="1" applyBorder="1" applyAlignment="1">
      <alignment horizontal="right" vertical="top" shrinkToFit="1"/>
    </xf>
    <xf numFmtId="0" fontId="73" fillId="0" borderId="0" xfId="0" applyFont="1" applyFill="1" applyAlignment="1">
      <alignment horizontal="left" vertical="top"/>
    </xf>
    <xf numFmtId="167" fontId="73" fillId="0" borderId="0" xfId="0" applyNumberFormat="1" applyFont="1" applyFill="1" applyAlignment="1">
      <alignment horizontal="right" vertical="top" shrinkToFit="1"/>
    </xf>
    <xf numFmtId="166" fontId="70" fillId="0" borderId="0" xfId="0" applyNumberFormat="1" applyFont="1" applyFill="1" applyAlignment="1">
      <alignment horizontal="right" vertical="top" wrapText="1"/>
    </xf>
    <xf numFmtId="1" fontId="73" fillId="0" borderId="0" xfId="0" applyNumberFormat="1" applyFont="1" applyFill="1" applyAlignment="1">
      <alignment horizontal="right" vertical="top" shrinkToFit="1"/>
    </xf>
    <xf numFmtId="0" fontId="71" fillId="0" borderId="0" xfId="0" applyFont="1" applyFill="1" applyAlignment="1">
      <alignment wrapText="1"/>
    </xf>
    <xf numFmtId="49" fontId="68" fillId="0" borderId="10" xfId="0" applyNumberFormat="1" applyFont="1" applyFill="1" applyBorder="1"/>
    <xf numFmtId="166" fontId="71" fillId="0" borderId="0" xfId="0" applyNumberFormat="1" applyFont="1" applyFill="1"/>
    <xf numFmtId="166" fontId="49" fillId="0" borderId="98" xfId="0" applyNumberFormat="1" applyFont="1" applyFill="1" applyBorder="1" applyAlignment="1">
      <alignment horizontal="center" wrapText="1"/>
    </xf>
    <xf numFmtId="0" fontId="76" fillId="0" borderId="107" xfId="0" applyFont="1" applyFill="1" applyBorder="1"/>
    <xf numFmtId="0" fontId="70" fillId="0" borderId="10" xfId="0" applyFont="1" applyFill="1" applyBorder="1" applyAlignment="1">
      <alignment horizontal="right" wrapText="1"/>
    </xf>
    <xf numFmtId="0" fontId="74" fillId="0" borderId="10" xfId="0" applyFont="1" applyFill="1" applyBorder="1" applyAlignment="1">
      <alignment horizontal="right" wrapText="1"/>
    </xf>
    <xf numFmtId="164" fontId="68" fillId="0" borderId="107" xfId="55" applyFont="1" applyFill="1" applyBorder="1"/>
    <xf numFmtId="164" fontId="68" fillId="0" borderId="100" xfId="55" applyFont="1" applyFill="1" applyBorder="1"/>
    <xf numFmtId="164" fontId="68" fillId="0" borderId="10" xfId="55" applyFont="1" applyFill="1" applyBorder="1"/>
    <xf numFmtId="164" fontId="68" fillId="0" borderId="11" xfId="55" applyFont="1" applyFill="1" applyBorder="1"/>
    <xf numFmtId="166" fontId="49" fillId="0" borderId="102" xfId="55" applyNumberFormat="1" applyFont="1" applyFill="1" applyBorder="1"/>
    <xf numFmtId="166" fontId="49" fillId="0" borderId="98" xfId="0" applyNumberFormat="1" applyFont="1" applyFill="1" applyBorder="1"/>
    <xf numFmtId="164" fontId="68" fillId="0" borderId="18" xfId="55" applyFont="1" applyFill="1" applyBorder="1"/>
    <xf numFmtId="0" fontId="49" fillId="0" borderId="98" xfId="0" applyFont="1" applyFill="1" applyBorder="1" applyAlignment="1">
      <alignment horizontal="center" wrapText="1"/>
    </xf>
    <xf numFmtId="0" fontId="68" fillId="0" borderId="10" xfId="0" applyFont="1" applyFill="1" applyBorder="1" applyAlignment="1">
      <alignment horizontal="center" vertical="center" wrapText="1"/>
    </xf>
    <xf numFmtId="0" fontId="49" fillId="0" borderId="0" xfId="0" applyFont="1" applyFill="1" applyAlignment="1">
      <alignment horizontal="center" vertical="center" wrapText="1"/>
    </xf>
    <xf numFmtId="0" fontId="49" fillId="0" borderId="28" xfId="0" applyFont="1" applyFill="1" applyBorder="1" applyAlignment="1">
      <alignment horizontal="center" vertical="center" wrapText="1"/>
    </xf>
    <xf numFmtId="177" fontId="68" fillId="0" borderId="11" xfId="55" applyNumberFormat="1" applyFont="1" applyFill="1" applyBorder="1" applyAlignment="1">
      <alignment wrapText="1"/>
    </xf>
    <xf numFmtId="164" fontId="68" fillId="0" borderId="11" xfId="55" applyFont="1" applyFill="1" applyBorder="1" applyAlignment="1">
      <alignment wrapText="1"/>
    </xf>
    <xf numFmtId="0" fontId="49" fillId="0" borderId="102" xfId="0" applyFont="1" applyFill="1" applyBorder="1"/>
    <xf numFmtId="0" fontId="49" fillId="0" borderId="109" xfId="0" applyFont="1" applyFill="1" applyBorder="1"/>
    <xf numFmtId="0" fontId="49" fillId="0" borderId="110" xfId="0" applyFont="1" applyFill="1" applyBorder="1"/>
    <xf numFmtId="165" fontId="71" fillId="0" borderId="0" xfId="0" applyNumberFormat="1" applyFont="1" applyFill="1"/>
    <xf numFmtId="166" fontId="49" fillId="0" borderId="14" xfId="0" applyNumberFormat="1" applyFont="1" applyFill="1" applyBorder="1"/>
    <xf numFmtId="166" fontId="49" fillId="0" borderId="14" xfId="0" applyNumberFormat="1" applyFont="1" applyFill="1" applyBorder="1" applyAlignment="1">
      <alignment horizontal="center"/>
    </xf>
    <xf numFmtId="0" fontId="68" fillId="0" borderId="12" xfId="0" applyFont="1" applyFill="1" applyBorder="1"/>
    <xf numFmtId="166" fontId="68" fillId="0" borderId="0" xfId="0" applyNumberFormat="1" applyFont="1" applyFill="1" applyAlignment="1">
      <alignment wrapText="1"/>
    </xf>
    <xf numFmtId="0" fontId="79" fillId="0" borderId="0" xfId="0" applyFont="1" applyFill="1"/>
    <xf numFmtId="0" fontId="68" fillId="0" borderId="85" xfId="0" applyFont="1" applyFill="1" applyBorder="1" applyAlignment="1">
      <alignment horizontal="center"/>
    </xf>
    <xf numFmtId="0" fontId="68" fillId="0" borderId="11" xfId="0" applyFont="1" applyFill="1" applyBorder="1" applyAlignment="1">
      <alignment horizontal="center"/>
    </xf>
    <xf numFmtId="10" fontId="68" fillId="0" borderId="11" xfId="0" applyNumberFormat="1" applyFont="1" applyFill="1" applyBorder="1" applyAlignment="1">
      <alignment horizontal="center"/>
    </xf>
    <xf numFmtId="0" fontId="68" fillId="0" borderId="10" xfId="0" applyFont="1" applyFill="1" applyBorder="1" applyAlignment="1">
      <alignment horizontal="left"/>
    </xf>
    <xf numFmtId="0" fontId="68" fillId="0" borderId="0" xfId="0" applyFont="1" applyFill="1" applyAlignment="1">
      <alignment horizontal="left"/>
    </xf>
    <xf numFmtId="0" fontId="68" fillId="0" borderId="28" xfId="0" applyFont="1" applyFill="1" applyBorder="1" applyAlignment="1">
      <alignment horizontal="left"/>
    </xf>
    <xf numFmtId="0" fontId="68" fillId="0" borderId="35" xfId="0" applyFont="1" applyFill="1" applyBorder="1" applyAlignment="1">
      <alignment horizontal="left"/>
    </xf>
    <xf numFmtId="0" fontId="68" fillId="0" borderId="36" xfId="0" applyFont="1" applyFill="1" applyBorder="1" applyAlignment="1">
      <alignment horizontal="left"/>
    </xf>
    <xf numFmtId="0" fontId="68" fillId="0" borderId="30" xfId="0" applyFont="1" applyFill="1" applyBorder="1" applyAlignment="1">
      <alignment horizontal="left"/>
    </xf>
    <xf numFmtId="0" fontId="68" fillId="0" borderId="18" xfId="0" applyFont="1" applyFill="1" applyBorder="1" applyAlignment="1">
      <alignment horizontal="center"/>
    </xf>
    <xf numFmtId="10" fontId="68" fillId="0" borderId="18" xfId="0" applyNumberFormat="1" applyFont="1" applyFill="1" applyBorder="1" applyAlignment="1">
      <alignment horizontal="center"/>
    </xf>
    <xf numFmtId="0" fontId="80" fillId="0" borderId="0" xfId="0" applyFont="1" applyFill="1"/>
    <xf numFmtId="0" fontId="29" fillId="0" borderId="0" xfId="0" applyFont="1" applyFill="1"/>
    <xf numFmtId="43" fontId="71" fillId="0" borderId="0" xfId="0" applyNumberFormat="1" applyFont="1" applyFill="1"/>
    <xf numFmtId="0" fontId="30" fillId="0" borderId="0" xfId="0" applyFont="1" applyFill="1" applyAlignment="1">
      <alignment vertical="top"/>
    </xf>
    <xf numFmtId="0" fontId="27" fillId="0" borderId="0" xfId="0" applyFont="1" applyFill="1" applyAlignment="1">
      <alignment vertical="top"/>
    </xf>
    <xf numFmtId="166" fontId="48" fillId="0" borderId="14" xfId="0" applyNumberFormat="1" applyFont="1" applyFill="1" applyBorder="1" applyAlignment="1">
      <alignment horizontal="center" wrapText="1"/>
    </xf>
    <xf numFmtId="0" fontId="48" fillId="0" borderId="14" xfId="0" applyFont="1" applyFill="1" applyBorder="1" applyAlignment="1">
      <alignment horizontal="center" wrapText="1"/>
    </xf>
    <xf numFmtId="0" fontId="48" fillId="0" borderId="37" xfId="0" applyFont="1" applyFill="1" applyBorder="1"/>
    <xf numFmtId="166" fontId="48" fillId="0" borderId="14" xfId="0" applyNumberFormat="1" applyFont="1" applyFill="1" applyBorder="1" applyAlignment="1">
      <alignment horizontal="center" vertical="center" wrapText="1"/>
    </xf>
    <xf numFmtId="0" fontId="48" fillId="0" borderId="14" xfId="0" applyFont="1" applyFill="1" applyBorder="1" applyAlignment="1">
      <alignment horizontal="center" vertical="center" wrapText="1"/>
    </xf>
    <xf numFmtId="0" fontId="48" fillId="0" borderId="10" xfId="0" applyFont="1" applyFill="1" applyBorder="1"/>
    <xf numFmtId="0" fontId="48" fillId="0" borderId="35" xfId="0" applyFont="1" applyFill="1" applyBorder="1"/>
    <xf numFmtId="0" fontId="51" fillId="0" borderId="13" xfId="0" applyFont="1" applyFill="1" applyBorder="1"/>
    <xf numFmtId="0" fontId="51" fillId="0" borderId="40" xfId="0" applyFont="1" applyFill="1" applyBorder="1"/>
    <xf numFmtId="0" fontId="51" fillId="0" borderId="10" xfId="0" applyFont="1" applyFill="1" applyBorder="1" applyAlignment="1">
      <alignment horizontal="left"/>
    </xf>
    <xf numFmtId="0" fontId="69" fillId="0" borderId="0" xfId="0" applyFont="1" applyFill="1"/>
    <xf numFmtId="0" fontId="48" fillId="0" borderId="27" xfId="0" applyFont="1" applyFill="1" applyBorder="1"/>
    <xf numFmtId="0" fontId="51" fillId="0" borderId="11" xfId="0" applyFont="1" applyFill="1" applyBorder="1" applyAlignment="1">
      <alignment horizontal="left"/>
    </xf>
    <xf numFmtId="0" fontId="51" fillId="0" borderId="28" xfId="0" applyFont="1" applyFill="1" applyBorder="1" applyAlignment="1">
      <alignment horizontal="left"/>
    </xf>
    <xf numFmtId="0" fontId="51" fillId="0" borderId="22" xfId="0" applyFont="1" applyFill="1" applyBorder="1" applyAlignment="1">
      <alignment horizontal="left"/>
    </xf>
    <xf numFmtId="0" fontId="63" fillId="0" borderId="27" xfId="0" applyFont="1" applyFill="1" applyBorder="1"/>
    <xf numFmtId="0" fontId="51" fillId="0" borderId="27" xfId="0" applyFont="1" applyFill="1" applyBorder="1"/>
    <xf numFmtId="165" fontId="23" fillId="0" borderId="0" xfId="0" applyNumberFormat="1" applyFont="1" applyFill="1"/>
    <xf numFmtId="0" fontId="48" fillId="0" borderId="15" xfId="0" applyFont="1" applyFill="1" applyBorder="1"/>
    <xf numFmtId="168" fontId="23" fillId="0" borderId="0" xfId="0" applyNumberFormat="1" applyFont="1" applyFill="1"/>
    <xf numFmtId="168" fontId="51" fillId="0" borderId="16" xfId="59" applyNumberFormat="1" applyFont="1" applyFill="1" applyBorder="1" applyAlignment="1">
      <alignment horizontal="left"/>
    </xf>
    <xf numFmtId="168" fontId="51" fillId="0" borderId="41" xfId="59" applyNumberFormat="1" applyFont="1" applyFill="1" applyBorder="1" applyAlignment="1">
      <alignment horizontal="left"/>
    </xf>
    <xf numFmtId="168" fontId="51" fillId="0" borderId="42" xfId="59" applyNumberFormat="1" applyFont="1" applyFill="1" applyBorder="1" applyAlignment="1">
      <alignment horizontal="left"/>
    </xf>
    <xf numFmtId="168" fontId="51" fillId="0" borderId="17" xfId="59" applyNumberFormat="1" applyFont="1" applyFill="1" applyBorder="1" applyAlignment="1">
      <alignment horizontal="left"/>
    </xf>
    <xf numFmtId="168" fontId="51" fillId="0" borderId="0" xfId="0" applyNumberFormat="1" applyFont="1" applyFill="1"/>
    <xf numFmtId="0" fontId="51" fillId="0" borderId="11" xfId="0" applyFont="1" applyFill="1" applyBorder="1"/>
    <xf numFmtId="0" fontId="51" fillId="0" borderId="82" xfId="0" applyFont="1" applyFill="1" applyBorder="1"/>
    <xf numFmtId="0" fontId="51" fillId="0" borderId="26" xfId="0" applyFont="1" applyFill="1" applyBorder="1"/>
    <xf numFmtId="164" fontId="51" fillId="0" borderId="0" xfId="55" applyFont="1" applyFill="1"/>
    <xf numFmtId="168" fontId="48" fillId="0" borderId="16" xfId="55" applyNumberFormat="1" applyFont="1" applyFill="1" applyBorder="1"/>
    <xf numFmtId="168" fontId="48" fillId="0" borderId="17" xfId="55" applyNumberFormat="1" applyFont="1" applyFill="1" applyBorder="1"/>
    <xf numFmtId="168" fontId="51" fillId="0" borderId="16" xfId="59" applyNumberFormat="1" applyFont="1" applyFill="1" applyBorder="1"/>
    <xf numFmtId="168" fontId="51" fillId="0" borderId="41" xfId="59" applyNumberFormat="1" applyFont="1" applyFill="1" applyBorder="1"/>
    <xf numFmtId="168" fontId="51" fillId="0" borderId="42" xfId="59" applyNumberFormat="1" applyFont="1" applyFill="1" applyBorder="1"/>
    <xf numFmtId="168" fontId="51" fillId="0" borderId="17" xfId="59" applyNumberFormat="1" applyFont="1" applyFill="1" applyBorder="1"/>
    <xf numFmtId="0" fontId="33" fillId="0" borderId="0" xfId="143" applyFont="1" applyFill="1" applyAlignment="1">
      <alignment wrapText="1"/>
    </xf>
    <xf numFmtId="0" fontId="34" fillId="0" borderId="74" xfId="0" applyFont="1" applyFill="1" applyBorder="1" applyAlignment="1">
      <alignment horizontal="center" vertical="center"/>
    </xf>
    <xf numFmtId="0" fontId="34" fillId="0" borderId="75" xfId="0" applyFont="1" applyFill="1" applyBorder="1" applyAlignment="1">
      <alignment horizontal="center" vertical="center"/>
    </xf>
    <xf numFmtId="166" fontId="35" fillId="0" borderId="75" xfId="55" applyNumberFormat="1" applyFont="1" applyFill="1" applyBorder="1" applyAlignment="1">
      <alignment horizontal="center" vertical="top" wrapText="1"/>
    </xf>
    <xf numFmtId="0" fontId="34" fillId="0" borderId="76" xfId="0" applyFont="1" applyFill="1" applyBorder="1" applyAlignment="1">
      <alignment horizontal="center" vertical="center"/>
    </xf>
    <xf numFmtId="0" fontId="33" fillId="0" borderId="0" xfId="143" applyFont="1" applyFill="1" applyAlignment="1">
      <alignment horizontal="center" wrapText="1"/>
    </xf>
    <xf numFmtId="0" fontId="33" fillId="0" borderId="27" xfId="143" applyFont="1" applyFill="1" applyBorder="1"/>
    <xf numFmtId="0" fontId="33" fillId="0" borderId="28" xfId="143" applyFont="1" applyFill="1" applyBorder="1"/>
    <xf numFmtId="164" fontId="33" fillId="0" borderId="11" xfId="144" applyFont="1" applyFill="1" applyBorder="1"/>
    <xf numFmtId="0" fontId="36" fillId="0" borderId="22" xfId="143" applyFont="1" applyFill="1" applyBorder="1"/>
    <xf numFmtId="0" fontId="33" fillId="0" borderId="0" xfId="143" applyFont="1" applyFill="1"/>
    <xf numFmtId="0" fontId="37" fillId="0" borderId="27" xfId="143" applyFont="1" applyFill="1" applyBorder="1"/>
    <xf numFmtId="0" fontId="37" fillId="0" borderId="28" xfId="143" applyFont="1" applyFill="1" applyBorder="1"/>
    <xf numFmtId="0" fontId="33" fillId="0" borderId="22" xfId="143" applyFont="1" applyFill="1" applyBorder="1"/>
    <xf numFmtId="0" fontId="38" fillId="0" borderId="11" xfId="145" applyFont="1" applyFill="1" applyBorder="1" applyAlignment="1">
      <alignment horizontal="left" vertical="center" wrapText="1"/>
    </xf>
    <xf numFmtId="9" fontId="33" fillId="0" borderId="11" xfId="118" applyFont="1" applyFill="1" applyBorder="1"/>
    <xf numFmtId="43" fontId="33" fillId="0" borderId="0" xfId="143" applyNumberFormat="1" applyFont="1" applyFill="1"/>
    <xf numFmtId="0" fontId="33" fillId="0" borderId="11" xfId="143" applyFont="1" applyFill="1" applyBorder="1"/>
    <xf numFmtId="0" fontId="37" fillId="0" borderId="0" xfId="143" applyFont="1" applyFill="1"/>
    <xf numFmtId="0" fontId="37" fillId="0" borderId="11" xfId="143" applyFont="1" applyFill="1" applyBorder="1"/>
    <xf numFmtId="0" fontId="38" fillId="0" borderId="0" xfId="145" applyFont="1" applyFill="1" applyAlignment="1">
      <alignment horizontal="left" vertical="center" wrapText="1"/>
    </xf>
    <xf numFmtId="0" fontId="33" fillId="0" borderId="22" xfId="143" applyFont="1" applyFill="1" applyBorder="1" applyAlignment="1">
      <alignment wrapText="1"/>
    </xf>
    <xf numFmtId="174" fontId="33" fillId="0" borderId="11" xfId="144" applyNumberFormat="1" applyFont="1" applyFill="1" applyBorder="1"/>
    <xf numFmtId="176" fontId="33" fillId="0" borderId="11" xfId="144" applyNumberFormat="1" applyFont="1" applyFill="1" applyBorder="1"/>
    <xf numFmtId="176" fontId="33" fillId="0" borderId="11" xfId="144" applyNumberFormat="1" applyFont="1" applyFill="1" applyBorder="1" applyAlignment="1">
      <alignment horizontal="right"/>
    </xf>
    <xf numFmtId="9" fontId="33" fillId="0" borderId="11" xfId="118" applyFont="1" applyFill="1" applyBorder="1" applyAlignment="1">
      <alignment horizontal="right"/>
    </xf>
    <xf numFmtId="0" fontId="33" fillId="0" borderId="32" xfId="143" applyFont="1" applyFill="1" applyBorder="1"/>
    <xf numFmtId="0" fontId="33" fillId="0" borderId="33" xfId="143" applyFont="1" applyFill="1" applyBorder="1"/>
    <xf numFmtId="176" fontId="33" fillId="0" borderId="34" xfId="144" applyNumberFormat="1" applyFont="1" applyFill="1" applyBorder="1"/>
    <xf numFmtId="164" fontId="33" fillId="0" borderId="34" xfId="144" applyFont="1" applyFill="1" applyBorder="1" applyAlignment="1">
      <alignment horizontal="right"/>
    </xf>
    <xf numFmtId="9" fontId="33" fillId="0" borderId="34" xfId="118" applyFont="1" applyFill="1" applyBorder="1" applyAlignment="1">
      <alignment horizontal="right"/>
    </xf>
    <xf numFmtId="0" fontId="33" fillId="0" borderId="25" xfId="143" applyFont="1" applyFill="1" applyBorder="1"/>
    <xf numFmtId="164" fontId="33" fillId="0" borderId="34" xfId="144" applyFont="1" applyFill="1" applyBorder="1"/>
    <xf numFmtId="164" fontId="33" fillId="0" borderId="0" xfId="144" applyFont="1" applyFill="1"/>
    <xf numFmtId="0" fontId="82" fillId="0" borderId="48" xfId="146" applyFont="1" applyFill="1" applyBorder="1" applyAlignment="1">
      <alignment horizontal="center" vertical="center" wrapText="1"/>
    </xf>
    <xf numFmtId="0" fontId="1" fillId="0" borderId="0" xfId="146" applyFill="1"/>
    <xf numFmtId="0" fontId="83" fillId="0" borderId="47" xfId="146" applyFont="1" applyFill="1" applyBorder="1"/>
    <xf numFmtId="0" fontId="83" fillId="0" borderId="0" xfId="146" applyFont="1" applyFill="1"/>
    <xf numFmtId="43" fontId="83" fillId="0" borderId="22" xfId="59" applyFont="1" applyFill="1" applyBorder="1"/>
    <xf numFmtId="0" fontId="82" fillId="0" borderId="47" xfId="146" applyFont="1" applyFill="1" applyBorder="1" applyAlignment="1">
      <alignment horizontal="center"/>
    </xf>
    <xf numFmtId="0" fontId="84" fillId="0" borderId="0" xfId="146" applyFont="1" applyFill="1"/>
    <xf numFmtId="0" fontId="83" fillId="0" borderId="102" xfId="146" applyFont="1" applyFill="1" applyBorder="1"/>
    <xf numFmtId="0" fontId="83" fillId="0" borderId="98" xfId="146" applyFont="1" applyFill="1" applyBorder="1"/>
    <xf numFmtId="0" fontId="60" fillId="0" borderId="107" xfId="146" applyFont="1" applyFill="1" applyBorder="1"/>
    <xf numFmtId="164" fontId="60" fillId="0" borderId="100" xfId="55" applyFont="1" applyFill="1" applyBorder="1"/>
    <xf numFmtId="0" fontId="60" fillId="0" borderId="100" xfId="146" applyFont="1" applyFill="1" applyBorder="1"/>
    <xf numFmtId="0" fontId="60" fillId="0" borderId="101" xfId="146" applyFont="1" applyFill="1" applyBorder="1" applyAlignment="1">
      <alignment horizontal="center" vertical="center"/>
    </xf>
    <xf numFmtId="0" fontId="60" fillId="0" borderId="10" xfId="146" applyFont="1" applyFill="1" applyBorder="1"/>
    <xf numFmtId="164" fontId="60" fillId="0" borderId="11" xfId="55" applyFont="1" applyFill="1" applyBorder="1"/>
    <xf numFmtId="0" fontId="60" fillId="0" borderId="11" xfId="146" applyFont="1" applyFill="1" applyBorder="1"/>
    <xf numFmtId="0" fontId="60" fillId="0" borderId="26" xfId="146" applyFont="1" applyFill="1" applyBorder="1" applyAlignment="1">
      <alignment horizontal="center" vertical="center"/>
    </xf>
    <xf numFmtId="0" fontId="60" fillId="0" borderId="18" xfId="146" applyFont="1" applyFill="1" applyBorder="1"/>
    <xf numFmtId="164" fontId="60" fillId="0" borderId="18" xfId="55" applyFont="1" applyFill="1" applyBorder="1"/>
    <xf numFmtId="164" fontId="60" fillId="0" borderId="19" xfId="55" applyFont="1" applyFill="1" applyBorder="1" applyAlignment="1">
      <alignment horizontal="center"/>
    </xf>
    <xf numFmtId="0" fontId="82" fillId="0" borderId="0" xfId="146" applyFont="1" applyFill="1"/>
    <xf numFmtId="43" fontId="82" fillId="0" borderId="99" xfId="59" applyFont="1" applyFill="1" applyBorder="1" applyAlignment="1">
      <alignment horizontal="center"/>
    </xf>
    <xf numFmtId="43" fontId="1" fillId="0" borderId="0" xfId="146" applyNumberFormat="1" applyFill="1"/>
    <xf numFmtId="43" fontId="82" fillId="0" borderId="99" xfId="59" applyFont="1" applyFill="1" applyBorder="1"/>
    <xf numFmtId="0" fontId="83" fillId="0" borderId="110" xfId="146" applyFont="1" applyFill="1" applyBorder="1"/>
    <xf numFmtId="43" fontId="83" fillId="0" borderId="98" xfId="146" applyNumberFormat="1" applyFont="1" applyFill="1" applyBorder="1"/>
    <xf numFmtId="0" fontId="83" fillId="0" borderId="103" xfId="146" applyFont="1" applyFill="1" applyBorder="1"/>
    <xf numFmtId="0" fontId="82" fillId="0" borderId="112" xfId="146" applyFont="1" applyFill="1" applyBorder="1" applyAlignment="1">
      <alignment horizontal="center" vertical="center" wrapText="1"/>
    </xf>
    <xf numFmtId="0" fontId="82" fillId="0" borderId="29" xfId="146" applyFont="1" applyFill="1" applyBorder="1" applyAlignment="1">
      <alignment horizontal="center" vertical="center" wrapText="1"/>
    </xf>
    <xf numFmtId="43" fontId="82" fillId="0" borderId="29" xfId="59" applyFont="1" applyFill="1" applyBorder="1" applyAlignment="1">
      <alignment horizontal="center" vertical="center" wrapText="1"/>
    </xf>
    <xf numFmtId="43" fontId="82" fillId="0" borderId="82" xfId="59" applyFont="1" applyFill="1" applyBorder="1" applyAlignment="1">
      <alignment horizontal="center" vertical="center" wrapText="1"/>
    </xf>
    <xf numFmtId="0" fontId="1" fillId="0" borderId="0" xfId="146" applyFill="1" applyAlignment="1">
      <alignment horizontal="center" vertical="center" wrapText="1"/>
    </xf>
    <xf numFmtId="14" fontId="83" fillId="0" borderId="98" xfId="146" applyNumberFormat="1" applyFont="1" applyFill="1" applyBorder="1"/>
    <xf numFmtId="14" fontId="83" fillId="0" borderId="98" xfId="146" applyNumberFormat="1" applyFont="1" applyFill="1" applyBorder="1" applyAlignment="1">
      <alignment horizontal="right"/>
    </xf>
    <xf numFmtId="0" fontId="82" fillId="0" borderId="110" xfId="146" applyFont="1" applyFill="1" applyBorder="1" applyAlignment="1">
      <alignment horizontal="center" vertical="center"/>
    </xf>
    <xf numFmtId="0" fontId="82" fillId="0" borderId="98" xfId="146" applyFont="1" applyFill="1" applyBorder="1" applyAlignment="1">
      <alignment horizontal="center" vertical="center"/>
    </xf>
    <xf numFmtId="43" fontId="82" fillId="0" borderId="98" xfId="59" applyFont="1" applyFill="1" applyBorder="1" applyAlignment="1">
      <alignment horizontal="center" vertical="center" wrapText="1"/>
    </xf>
    <xf numFmtId="164" fontId="83" fillId="0" borderId="98" xfId="55" applyFont="1" applyFill="1" applyBorder="1"/>
    <xf numFmtId="0" fontId="60" fillId="0" borderId="0" xfId="146" applyFont="1" applyFill="1"/>
    <xf numFmtId="0" fontId="83" fillId="0" borderId="113" xfId="146" applyFont="1" applyFill="1" applyBorder="1"/>
    <xf numFmtId="0" fontId="83" fillId="0" borderId="24" xfId="146" applyFont="1" applyFill="1" applyBorder="1"/>
    <xf numFmtId="43" fontId="83" fillId="0" borderId="24" xfId="59" applyFont="1" applyFill="1" applyBorder="1"/>
    <xf numFmtId="43" fontId="83" fillId="0" borderId="25" xfId="59" applyFont="1" applyFill="1" applyBorder="1"/>
    <xf numFmtId="43" fontId="83" fillId="0" borderId="0" xfId="59" applyFont="1" applyFill="1"/>
    <xf numFmtId="43" fontId="1" fillId="0" borderId="0" xfId="59" applyFont="1" applyFill="1"/>
    <xf numFmtId="0" fontId="49" fillId="0" borderId="0" xfId="0" applyFont="1" applyFill="1" applyAlignment="1">
      <alignment horizontal="center" vertical="top"/>
    </xf>
    <xf numFmtId="0" fontId="51" fillId="0" borderId="14" xfId="0" applyFont="1" applyFill="1" applyBorder="1" applyAlignment="1">
      <alignment horizontal="center" vertical="center"/>
    </xf>
    <xf numFmtId="0" fontId="69" fillId="0" borderId="14" xfId="0" applyFont="1" applyFill="1" applyBorder="1" applyAlignment="1">
      <alignment vertical="center"/>
    </xf>
    <xf numFmtId="0" fontId="69" fillId="0" borderId="14" xfId="0" applyFont="1" applyFill="1" applyBorder="1"/>
    <xf numFmtId="0" fontId="51" fillId="0" borderId="14" xfId="0" applyFont="1" applyFill="1" applyBorder="1" applyAlignment="1">
      <alignment horizontal="center"/>
    </xf>
    <xf numFmtId="0" fontId="48" fillId="0" borderId="14" xfId="0" applyFont="1" applyFill="1" applyBorder="1"/>
    <xf numFmtId="0" fontId="51" fillId="0" borderId="14" xfId="0" applyFont="1" applyFill="1" applyBorder="1"/>
    <xf numFmtId="0" fontId="54" fillId="0" borderId="83" xfId="0" applyFont="1" applyFill="1" applyBorder="1"/>
    <xf numFmtId="168" fontId="51" fillId="0" borderId="14" xfId="59" applyNumberFormat="1" applyFont="1" applyFill="1" applyBorder="1" applyAlignment="1"/>
    <xf numFmtId="168" fontId="51" fillId="0" borderId="0" xfId="59" applyNumberFormat="1" applyFont="1" applyFill="1" applyBorder="1"/>
    <xf numFmtId="168" fontId="51" fillId="0" borderId="28" xfId="59" applyNumberFormat="1" applyFont="1" applyFill="1" applyBorder="1"/>
    <xf numFmtId="0" fontId="27" fillId="0" borderId="0" xfId="0" applyFont="1" applyFill="1" applyAlignment="1">
      <alignment horizontal="center" vertical="top"/>
    </xf>
    <xf numFmtId="0" fontId="55" fillId="0" borderId="65" xfId="99" applyFont="1" applyFill="1" applyBorder="1" applyAlignment="1">
      <alignment horizontal="center" vertical="center" wrapText="1"/>
    </xf>
    <xf numFmtId="0" fontId="85" fillId="0" borderId="65" xfId="99" applyFont="1" applyFill="1" applyBorder="1" applyAlignment="1">
      <alignment horizontal="center" vertical="center" wrapText="1"/>
    </xf>
    <xf numFmtId="167" fontId="86" fillId="0" borderId="65" xfId="99" applyNumberFormat="1" applyFont="1" applyFill="1" applyBorder="1" applyAlignment="1">
      <alignment horizontal="center" vertical="top" shrinkToFit="1"/>
    </xf>
    <xf numFmtId="0" fontId="55" fillId="0" borderId="65" xfId="99" applyFont="1" applyFill="1" applyBorder="1" applyAlignment="1">
      <alignment horizontal="center" vertical="top" wrapText="1"/>
    </xf>
    <xf numFmtId="0" fontId="55" fillId="0" borderId="65" xfId="99" applyFont="1" applyFill="1" applyBorder="1" applyAlignment="1">
      <alignment horizontal="left" vertical="top" wrapText="1" indent="4"/>
    </xf>
    <xf numFmtId="0" fontId="85" fillId="0" borderId="65" xfId="99" applyFont="1" applyFill="1" applyBorder="1" applyAlignment="1">
      <alignment horizontal="left" wrapText="1"/>
    </xf>
    <xf numFmtId="0" fontId="55" fillId="0" borderId="65" xfId="99" applyFont="1" applyFill="1" applyBorder="1" applyAlignment="1">
      <alignment horizontal="left" vertical="top" wrapText="1"/>
    </xf>
    <xf numFmtId="0" fontId="60" fillId="0" borderId="65" xfId="99" applyFont="1" applyFill="1" applyBorder="1" applyAlignment="1">
      <alignment horizontal="left" vertical="top" wrapText="1"/>
    </xf>
    <xf numFmtId="166" fontId="60" fillId="0" borderId="0" xfId="55" applyNumberFormat="1" applyFont="1" applyFill="1"/>
    <xf numFmtId="0" fontId="51" fillId="0" borderId="20" xfId="0" applyFont="1" applyFill="1" applyBorder="1" applyAlignment="1">
      <alignment horizontal="center" vertical="center"/>
    </xf>
    <xf numFmtId="0" fontId="51" fillId="0" borderId="11" xfId="0" applyFont="1" applyFill="1" applyBorder="1" applyAlignment="1">
      <alignment horizontal="center" vertical="center"/>
    </xf>
    <xf numFmtId="166" fontId="48" fillId="0" borderId="11" xfId="55" applyNumberFormat="1" applyFont="1" applyFill="1" applyBorder="1" applyAlignment="1">
      <alignment horizontal="center" vertical="center"/>
    </xf>
    <xf numFmtId="164" fontId="51" fillId="0" borderId="11" xfId="55" applyFont="1" applyFill="1" applyBorder="1" applyAlignment="1">
      <alignment horizontal="center" vertical="center"/>
    </xf>
    <xf numFmtId="164" fontId="51" fillId="0" borderId="11" xfId="55" applyFont="1" applyFill="1" applyBorder="1" applyAlignment="1">
      <alignment horizontal="center" vertical="center" wrapText="1"/>
    </xf>
    <xf numFmtId="0" fontId="51" fillId="0" borderId="11" xfId="0" applyFont="1" applyFill="1" applyBorder="1" applyAlignment="1">
      <alignment horizontal="center" vertical="center" wrapText="1"/>
    </xf>
    <xf numFmtId="166" fontId="51" fillId="0" borderId="11" xfId="55" applyNumberFormat="1" applyFont="1" applyFill="1" applyBorder="1" applyAlignment="1">
      <alignment horizontal="center" vertical="center" wrapText="1"/>
    </xf>
    <xf numFmtId="0" fontId="48" fillId="0" borderId="10" xfId="0" applyFont="1" applyFill="1" applyBorder="1" applyAlignment="1">
      <alignment wrapText="1"/>
    </xf>
    <xf numFmtId="0" fontId="48" fillId="0" borderId="0" xfId="0" applyFont="1" applyFill="1" applyAlignment="1">
      <alignment wrapText="1"/>
    </xf>
    <xf numFmtId="0" fontId="48" fillId="0" borderId="28" xfId="0" applyFont="1" applyFill="1" applyBorder="1" applyAlignment="1">
      <alignment wrapText="1"/>
    </xf>
    <xf numFmtId="164" fontId="51" fillId="0" borderId="11" xfId="55" applyFont="1" applyFill="1" applyBorder="1" applyAlignment="1">
      <alignment horizontal="left" vertical="center" wrapText="1"/>
    </xf>
    <xf numFmtId="0" fontId="51" fillId="0" borderId="10" xfId="0" applyFont="1" applyFill="1" applyBorder="1" applyAlignment="1">
      <alignment horizontal="left" wrapText="1" indent="1"/>
    </xf>
    <xf numFmtId="0" fontId="51" fillId="0" borderId="28" xfId="0" applyFont="1" applyFill="1" applyBorder="1" applyAlignment="1">
      <alignment wrapText="1"/>
    </xf>
    <xf numFmtId="166" fontId="51" fillId="0" borderId="18" xfId="55" applyNumberFormat="1" applyFont="1" applyFill="1" applyBorder="1" applyAlignment="1">
      <alignment horizontal="center" vertical="center"/>
    </xf>
    <xf numFmtId="166" fontId="48" fillId="0" borderId="14" xfId="55" applyNumberFormat="1" applyFont="1" applyFill="1" applyBorder="1" applyAlignment="1">
      <alignment horizontal="center" vertical="center" wrapText="1"/>
    </xf>
    <xf numFmtId="0" fontId="51" fillId="0" borderId="20" xfId="0" applyFont="1" applyFill="1" applyBorder="1"/>
    <xf numFmtId="166" fontId="51" fillId="0" borderId="14" xfId="55" applyNumberFormat="1" applyFont="1" applyFill="1" applyBorder="1"/>
    <xf numFmtId="49" fontId="51" fillId="0" borderId="11" xfId="0" applyNumberFormat="1" applyFont="1" applyFill="1" applyBorder="1" applyAlignment="1">
      <alignment horizontal="center" wrapText="1"/>
    </xf>
    <xf numFmtId="49" fontId="51" fillId="0" borderId="11" xfId="0" applyNumberFormat="1" applyFont="1" applyFill="1" applyBorder="1" applyAlignment="1">
      <alignment horizontal="center" vertical="top" wrapText="1"/>
    </xf>
    <xf numFmtId="164" fontId="51" fillId="0" borderId="11" xfId="55" applyFont="1" applyFill="1" applyBorder="1" applyAlignment="1">
      <alignment horizontal="right" vertical="center" wrapText="1"/>
    </xf>
    <xf numFmtId="164" fontId="51" fillId="0" borderId="11" xfId="55" applyFont="1" applyFill="1" applyBorder="1" applyAlignment="1">
      <alignment horizontal="center" vertical="top" wrapText="1"/>
    </xf>
    <xf numFmtId="164" fontId="51" fillId="0" borderId="11" xfId="55" applyFont="1" applyFill="1" applyBorder="1" applyAlignment="1">
      <alignment horizontal="center" vertical="top"/>
    </xf>
    <xf numFmtId="0" fontId="51" fillId="0" borderId="10" xfId="0" applyFont="1" applyFill="1" applyBorder="1" applyAlignment="1">
      <alignment wrapText="1"/>
    </xf>
    <xf numFmtId="0" fontId="51" fillId="0" borderId="18" xfId="0" applyFont="1" applyFill="1" applyBorder="1" applyAlignment="1">
      <alignment horizontal="center" vertical="center"/>
    </xf>
    <xf numFmtId="0" fontId="51" fillId="0" borderId="18" xfId="0" applyFont="1" applyFill="1" applyBorder="1" applyAlignment="1">
      <alignment horizontal="center" vertical="top"/>
    </xf>
    <xf numFmtId="0" fontId="51" fillId="0" borderId="0" xfId="0" applyFont="1" applyFill="1" applyAlignment="1">
      <alignment horizontal="left"/>
    </xf>
    <xf numFmtId="0" fontId="48" fillId="0" borderId="12" xfId="0" applyFont="1" applyFill="1" applyBorder="1" applyAlignment="1">
      <alignment horizontal="left" vertical="center" wrapText="1"/>
    </xf>
    <xf numFmtId="0" fontId="48" fillId="0" borderId="13" xfId="0" applyFont="1" applyFill="1" applyBorder="1" applyAlignment="1">
      <alignment horizontal="left" vertical="center" wrapText="1"/>
    </xf>
    <xf numFmtId="0" fontId="48" fillId="0" borderId="14" xfId="0" applyFont="1" applyFill="1" applyBorder="1" applyAlignment="1">
      <alignment horizontal="left" vertical="top" wrapText="1"/>
    </xf>
    <xf numFmtId="0" fontId="23" fillId="0" borderId="10" xfId="0" applyFont="1" applyFill="1" applyBorder="1"/>
    <xf numFmtId="0" fontId="48" fillId="0" borderId="18" xfId="0" applyFont="1" applyFill="1" applyBorder="1" applyAlignment="1">
      <alignment horizontal="center" vertical="center" wrapText="1"/>
    </xf>
    <xf numFmtId="0" fontId="51" fillId="0" borderId="0" xfId="0" applyFont="1" applyFill="1" applyAlignment="1">
      <alignment horizontal="justify" wrapText="1"/>
    </xf>
    <xf numFmtId="164" fontId="51" fillId="0" borderId="0" xfId="0" applyNumberFormat="1" applyFont="1" applyFill="1"/>
    <xf numFmtId="0" fontId="51" fillId="0" borderId="0" xfId="0" applyFont="1" applyFill="1" applyAlignment="1">
      <alignment horizontal="left" indent="1"/>
    </xf>
    <xf numFmtId="0" fontId="51" fillId="0" borderId="0" xfId="0" applyFont="1" applyFill="1" applyAlignment="1">
      <alignment horizontal="center"/>
    </xf>
    <xf numFmtId="0" fontId="48" fillId="0" borderId="0" xfId="0" applyFont="1" applyFill="1" applyAlignment="1">
      <alignment horizontal="left" indent="1"/>
    </xf>
    <xf numFmtId="0" fontId="48" fillId="0" borderId="0" xfId="0" applyFont="1" applyFill="1" applyAlignment="1">
      <alignment horizontal="center"/>
    </xf>
    <xf numFmtId="166" fontId="48" fillId="0" borderId="0" xfId="0" applyNumberFormat="1" applyFont="1" applyFill="1"/>
    <xf numFmtId="0" fontId="0" fillId="0" borderId="0" xfId="0" applyFill="1"/>
    <xf numFmtId="49" fontId="31" fillId="0" borderId="45" xfId="0" applyNumberFormat="1" applyFont="1" applyFill="1" applyBorder="1" applyAlignment="1">
      <alignment horizontal="left" vertical="top" indent="2"/>
    </xf>
    <xf numFmtId="49" fontId="31" fillId="0" borderId="21" xfId="0" applyNumberFormat="1" applyFont="1" applyFill="1" applyBorder="1" applyAlignment="1">
      <alignment horizontal="left" vertical="top" indent="2"/>
    </xf>
    <xf numFmtId="49" fontId="31" fillId="0" borderId="23" xfId="0" applyNumberFormat="1" applyFont="1" applyFill="1" applyBorder="1" applyAlignment="1">
      <alignment horizontal="left" vertical="top" indent="2"/>
    </xf>
    <xf numFmtId="49" fontId="32" fillId="0" borderId="49" xfId="0" applyNumberFormat="1" applyFont="1" applyFill="1" applyBorder="1" applyAlignment="1">
      <alignment horizontal="left" vertical="top" indent="2"/>
    </xf>
    <xf numFmtId="49" fontId="31" fillId="0" borderId="46" xfId="0" applyNumberFormat="1" applyFont="1" applyFill="1" applyBorder="1" applyAlignment="1">
      <alignment vertical="top"/>
    </xf>
    <xf numFmtId="0" fontId="0" fillId="0" borderId="0" xfId="0" applyFill="1" applyAlignment="1">
      <alignment horizontal="left" indent="2"/>
    </xf>
    <xf numFmtId="49" fontId="39" fillId="0" borderId="47" xfId="0" applyNumberFormat="1" applyFont="1" applyFill="1" applyBorder="1" applyAlignment="1">
      <alignment horizontal="left" vertical="top" indent="2"/>
    </xf>
    <xf numFmtId="49" fontId="31" fillId="0" borderId="47" xfId="0" applyNumberFormat="1" applyFont="1" applyFill="1" applyBorder="1" applyAlignment="1">
      <alignment horizontal="left" vertical="top"/>
    </xf>
    <xf numFmtId="49" fontId="31" fillId="0" borderId="47" xfId="0" applyNumberFormat="1" applyFont="1" applyFill="1" applyBorder="1" applyAlignment="1">
      <alignment horizontal="left" vertical="top" indent="2"/>
    </xf>
    <xf numFmtId="49" fontId="31" fillId="0" borderId="47" xfId="0" applyNumberFormat="1" applyFont="1" applyFill="1" applyBorder="1" applyAlignment="1">
      <alignment horizontal="left" vertical="top" indent="1"/>
    </xf>
    <xf numFmtId="43" fontId="0" fillId="0" borderId="0" xfId="0" applyNumberFormat="1" applyFill="1"/>
    <xf numFmtId="49" fontId="31" fillId="0" borderId="47" xfId="0" applyNumberFormat="1" applyFont="1" applyFill="1" applyBorder="1" applyAlignment="1">
      <alignment vertical="top"/>
    </xf>
    <xf numFmtId="49" fontId="32" fillId="0" borderId="47" xfId="0" applyNumberFormat="1" applyFont="1" applyFill="1" applyBorder="1" applyAlignment="1">
      <alignment vertical="top"/>
    </xf>
    <xf numFmtId="49" fontId="31" fillId="0" borderId="48" xfId="0" applyNumberFormat="1" applyFont="1" applyFill="1" applyBorder="1" applyAlignment="1">
      <alignment horizontal="left" vertical="top" indent="2"/>
    </xf>
    <xf numFmtId="49" fontId="0" fillId="0" borderId="0" xfId="0" applyNumberFormat="1" applyFill="1"/>
    <xf numFmtId="164" fontId="46" fillId="0" borderId="0" xfId="55" applyFont="1" applyFill="1"/>
    <xf numFmtId="0" fontId="87" fillId="0" borderId="0" xfId="0" applyFont="1"/>
    <xf numFmtId="164" fontId="87" fillId="0" borderId="0" xfId="55" applyFont="1"/>
    <xf numFmtId="176" fontId="87" fillId="0" borderId="0" xfId="55" applyNumberFormat="1" applyFont="1"/>
    <xf numFmtId="0" fontId="51" fillId="0" borderId="0" xfId="0" applyFont="1" applyFill="1" applyAlignment="1">
      <alignment horizontal="center"/>
    </xf>
    <xf numFmtId="0" fontId="51" fillId="0" borderId="22" xfId="0" applyFont="1" applyFill="1" applyBorder="1" applyAlignment="1">
      <alignment horizontal="center"/>
    </xf>
    <xf numFmtId="0" fontId="48" fillId="0" borderId="0" xfId="0" applyFont="1" applyFill="1" applyAlignment="1">
      <alignment horizontal="center"/>
    </xf>
    <xf numFmtId="0" fontId="48" fillId="0" borderId="22" xfId="0" applyFont="1" applyFill="1" applyBorder="1" applyAlignment="1">
      <alignment horizontal="center"/>
    </xf>
    <xf numFmtId="0" fontId="47" fillId="0" borderId="45" xfId="0" applyFont="1" applyFill="1" applyBorder="1" applyAlignment="1">
      <alignment horizontal="center"/>
    </xf>
    <xf numFmtId="0" fontId="47" fillId="0" borderId="50" xfId="0" applyFont="1" applyFill="1" applyBorder="1" applyAlignment="1">
      <alignment horizontal="center"/>
    </xf>
    <xf numFmtId="0" fontId="47" fillId="0" borderId="51" xfId="0" applyFont="1" applyFill="1" applyBorder="1" applyAlignment="1">
      <alignment horizontal="center"/>
    </xf>
    <xf numFmtId="0" fontId="48" fillId="0" borderId="21" xfId="0" applyFont="1" applyFill="1" applyBorder="1" applyAlignment="1">
      <alignment horizontal="center"/>
    </xf>
    <xf numFmtId="0" fontId="48" fillId="0" borderId="21" xfId="0" applyFont="1" applyFill="1" applyBorder="1" applyAlignment="1">
      <alignment horizontal="center" vertical="center"/>
    </xf>
    <xf numFmtId="0" fontId="48" fillId="0" borderId="0" xfId="0" applyFont="1" applyFill="1" applyAlignment="1">
      <alignment horizontal="center" vertical="center"/>
    </xf>
    <xf numFmtId="0" fontId="48" fillId="0" borderId="22" xfId="0" applyFont="1" applyFill="1" applyBorder="1" applyAlignment="1">
      <alignment horizontal="center" vertical="center"/>
    </xf>
    <xf numFmtId="0" fontId="49" fillId="0" borderId="23" xfId="0" applyFont="1" applyFill="1" applyBorder="1" applyAlignment="1">
      <alignment horizontal="center"/>
    </xf>
    <xf numFmtId="0" fontId="49" fillId="0" borderId="24" xfId="0" applyFont="1" applyFill="1" applyBorder="1" applyAlignment="1">
      <alignment horizontal="center"/>
    </xf>
    <xf numFmtId="0" fontId="49" fillId="0" borderId="25" xfId="0" applyFont="1" applyFill="1" applyBorder="1" applyAlignment="1">
      <alignment horizontal="center"/>
    </xf>
    <xf numFmtId="0" fontId="49" fillId="0" borderId="0" xfId="0" applyFont="1" applyFill="1" applyAlignment="1">
      <alignment horizontal="center"/>
    </xf>
    <xf numFmtId="0" fontId="49" fillId="0" borderId="22" xfId="0" applyFont="1" applyFill="1" applyBorder="1" applyAlignment="1">
      <alignment horizontal="center"/>
    </xf>
    <xf numFmtId="0" fontId="68" fillId="0" borderId="0" xfId="0" applyFont="1" applyFill="1" applyAlignment="1">
      <alignment horizontal="center"/>
    </xf>
    <xf numFmtId="0" fontId="68" fillId="0" borderId="22" xfId="0" applyFont="1" applyFill="1" applyBorder="1" applyAlignment="1">
      <alignment horizontal="center"/>
    </xf>
    <xf numFmtId="0" fontId="68" fillId="0" borderId="27" xfId="0" applyFont="1" applyFill="1" applyBorder="1" applyAlignment="1">
      <alignment horizontal="center" vertical="center" wrapText="1"/>
    </xf>
    <xf numFmtId="0" fontId="49" fillId="0" borderId="21" xfId="0" applyFont="1" applyFill="1" applyBorder="1" applyAlignment="1">
      <alignment horizontal="center"/>
    </xf>
    <xf numFmtId="0" fontId="48" fillId="25" borderId="0" xfId="0" applyFont="1" applyFill="1" applyAlignment="1">
      <alignment horizontal="center"/>
    </xf>
    <xf numFmtId="0" fontId="48" fillId="25" borderId="22" xfId="0" applyFont="1" applyFill="1" applyBorder="1" applyAlignment="1">
      <alignment horizontal="center"/>
    </xf>
    <xf numFmtId="0" fontId="48" fillId="0" borderId="21" xfId="0" applyFont="1" applyBorder="1" applyAlignment="1">
      <alignment horizontal="center"/>
    </xf>
    <xf numFmtId="0" fontId="48" fillId="0" borderId="0" xfId="0" applyFont="1" applyAlignment="1">
      <alignment horizontal="center"/>
    </xf>
    <xf numFmtId="0" fontId="48" fillId="0" borderId="22" xfId="0" applyFont="1" applyBorder="1" applyAlignment="1">
      <alignment horizontal="center"/>
    </xf>
    <xf numFmtId="0" fontId="48" fillId="25" borderId="21" xfId="0" applyFont="1" applyFill="1" applyBorder="1" applyAlignment="1">
      <alignment horizontal="center" vertical="center"/>
    </xf>
    <xf numFmtId="0" fontId="48" fillId="25" borderId="0" xfId="0" applyFont="1" applyFill="1" applyAlignment="1">
      <alignment horizontal="center" vertical="center"/>
    </xf>
    <xf numFmtId="0" fontId="48" fillId="25" borderId="22" xfId="0" applyFont="1" applyFill="1" applyBorder="1" applyAlignment="1">
      <alignment horizontal="center" vertical="center"/>
    </xf>
    <xf numFmtId="170" fontId="56" fillId="0" borderId="10" xfId="100" applyNumberFormat="1" applyFont="1" applyBorder="1" applyAlignment="1">
      <alignment horizontal="left"/>
    </xf>
    <xf numFmtId="170" fontId="56" fillId="0" borderId="0" xfId="100" applyNumberFormat="1" applyFont="1" applyAlignment="1">
      <alignment horizontal="left"/>
    </xf>
    <xf numFmtId="170" fontId="56" fillId="0" borderId="28" xfId="100" applyNumberFormat="1" applyFont="1" applyBorder="1" applyAlignment="1">
      <alignment horizontal="left"/>
    </xf>
    <xf numFmtId="0" fontId="47" fillId="25" borderId="45" xfId="0" applyFont="1" applyFill="1" applyBorder="1" applyAlignment="1">
      <alignment horizontal="center"/>
    </xf>
    <xf numFmtId="0" fontId="47" fillId="25" borderId="50" xfId="0" applyFont="1" applyFill="1" applyBorder="1" applyAlignment="1">
      <alignment horizontal="center"/>
    </xf>
    <xf numFmtId="0" fontId="47" fillId="25" borderId="51" xfId="0" applyFont="1" applyFill="1" applyBorder="1" applyAlignment="1">
      <alignment horizontal="center"/>
    </xf>
    <xf numFmtId="2" fontId="55" fillId="0" borderId="21" xfId="100" applyNumberFormat="1" applyFont="1" applyBorder="1" applyAlignment="1">
      <alignment horizontal="center"/>
    </xf>
    <xf numFmtId="2" fontId="55" fillId="0" borderId="0" xfId="100" applyNumberFormat="1" applyFont="1" applyAlignment="1">
      <alignment horizontal="center"/>
    </xf>
    <xf numFmtId="2" fontId="55" fillId="0" borderId="22" xfId="100" applyNumberFormat="1" applyFont="1" applyBorder="1" applyAlignment="1">
      <alignment horizontal="center"/>
    </xf>
    <xf numFmtId="166" fontId="56" fillId="0" borderId="16" xfId="100" applyNumberFormat="1" applyFont="1" applyBorder="1" applyAlignment="1">
      <alignment horizontal="center" wrapText="1"/>
    </xf>
    <xf numFmtId="166" fontId="56" fillId="0" borderId="16" xfId="100" applyNumberFormat="1" applyFont="1" applyBorder="1" applyAlignment="1">
      <alignment horizontal="center"/>
    </xf>
    <xf numFmtId="166" fontId="56" fillId="0" borderId="17" xfId="100" applyNumberFormat="1" applyFont="1" applyBorder="1" applyAlignment="1">
      <alignment horizontal="center"/>
    </xf>
    <xf numFmtId="0" fontId="56" fillId="0" borderId="16" xfId="100" applyFont="1" applyBorder="1" applyAlignment="1">
      <alignment horizontal="left" wrapText="1"/>
    </xf>
    <xf numFmtId="166" fontId="51" fillId="25" borderId="0" xfId="0" applyNumberFormat="1" applyFont="1" applyFill="1" applyAlignment="1">
      <alignment horizontal="center"/>
    </xf>
    <xf numFmtId="166" fontId="51" fillId="25" borderId="22" xfId="0" applyNumberFormat="1" applyFont="1" applyFill="1" applyBorder="1" applyAlignment="1">
      <alignment horizontal="center"/>
    </xf>
    <xf numFmtId="0" fontId="47" fillId="0" borderId="0" xfId="0" applyFont="1" applyFill="1" applyAlignment="1">
      <alignment horizontal="center"/>
    </xf>
    <xf numFmtId="0" fontId="49" fillId="0" borderId="12" xfId="0" applyFont="1" applyFill="1" applyBorder="1" applyAlignment="1">
      <alignment horizontal="left"/>
    </xf>
    <xf numFmtId="0" fontId="49" fillId="0" borderId="13" xfId="0" applyFont="1" applyFill="1" applyBorder="1" applyAlignment="1">
      <alignment horizontal="left"/>
    </xf>
    <xf numFmtId="0" fontId="49" fillId="0" borderId="40" xfId="0" applyFont="1" applyFill="1" applyBorder="1" applyAlignment="1">
      <alignment horizontal="left"/>
    </xf>
    <xf numFmtId="0" fontId="49" fillId="0" borderId="14" xfId="0" applyFont="1" applyFill="1" applyBorder="1" applyAlignment="1">
      <alignment horizontal="center" vertical="center"/>
    </xf>
    <xf numFmtId="0" fontId="49" fillId="0" borderId="14" xfId="0" applyFont="1" applyFill="1" applyBorder="1" applyAlignment="1">
      <alignment horizontal="center" vertical="center" wrapText="1"/>
    </xf>
    <xf numFmtId="0" fontId="49" fillId="0" borderId="12" xfId="0" applyFont="1" applyFill="1" applyBorder="1" applyAlignment="1">
      <alignment horizontal="center" vertical="center"/>
    </xf>
    <xf numFmtId="0" fontId="49" fillId="0" borderId="13" xfId="0" applyFont="1" applyFill="1" applyBorder="1" applyAlignment="1">
      <alignment horizontal="center" vertical="center"/>
    </xf>
    <xf numFmtId="0" fontId="49" fillId="0" borderId="40" xfId="0" applyFont="1" applyFill="1" applyBorder="1" applyAlignment="1">
      <alignment horizontal="center" vertical="center"/>
    </xf>
    <xf numFmtId="0" fontId="47" fillId="0" borderId="0" xfId="0" applyFont="1" applyFill="1" applyAlignment="1">
      <alignment horizontal="center" vertical="top"/>
    </xf>
    <xf numFmtId="0" fontId="49" fillId="0" borderId="0" xfId="0" applyFont="1" applyFill="1" applyAlignment="1">
      <alignment horizontal="center" vertical="top"/>
    </xf>
    <xf numFmtId="0" fontId="51" fillId="0" borderId="0" xfId="0" applyFont="1" applyFill="1" applyAlignment="1">
      <alignment horizontal="justify" vertical="top" wrapText="1"/>
    </xf>
    <xf numFmtId="0" fontId="48" fillId="0" borderId="14" xfId="0" applyFont="1" applyFill="1" applyBorder="1" applyAlignment="1">
      <alignment horizontal="center" vertical="top" wrapText="1"/>
    </xf>
    <xf numFmtId="0" fontId="51" fillId="0" borderId="14" xfId="0" applyFont="1" applyFill="1" applyBorder="1" applyAlignment="1">
      <alignment horizontal="left" vertical="top" wrapText="1"/>
    </xf>
    <xf numFmtId="0" fontId="51" fillId="0" borderId="12" xfId="0" applyFont="1" applyFill="1" applyBorder="1" applyAlignment="1">
      <alignment horizontal="left" vertical="top" wrapText="1"/>
    </xf>
    <xf numFmtId="0" fontId="51" fillId="0" borderId="13" xfId="0" applyFont="1" applyFill="1" applyBorder="1" applyAlignment="1">
      <alignment horizontal="left" vertical="top" wrapText="1"/>
    </xf>
    <xf numFmtId="0" fontId="51" fillId="0" borderId="40" xfId="0" applyFont="1" applyFill="1" applyBorder="1" applyAlignment="1">
      <alignment horizontal="left" vertical="top" wrapText="1"/>
    </xf>
    <xf numFmtId="0" fontId="51" fillId="0" borderId="0" xfId="0" applyFont="1" applyFill="1" applyAlignment="1">
      <alignment horizontal="left" vertical="top" wrapText="1"/>
    </xf>
    <xf numFmtId="0" fontId="62" fillId="0" borderId="0" xfId="0" applyFont="1" applyFill="1" applyAlignment="1">
      <alignment horizontal="justify" vertical="top" wrapText="1"/>
    </xf>
    <xf numFmtId="0" fontId="60" fillId="0" borderId="0" xfId="0" applyFont="1" applyFill="1" applyAlignment="1">
      <alignment horizontal="justify" vertical="top" wrapText="1"/>
    </xf>
    <xf numFmtId="0" fontId="51" fillId="0" borderId="14" xfId="0" applyFont="1" applyFill="1" applyBorder="1" applyAlignment="1">
      <alignment horizontal="left" vertical="top"/>
    </xf>
    <xf numFmtId="0" fontId="51" fillId="0" borderId="14" xfId="0" applyFont="1" applyFill="1" applyBorder="1" applyAlignment="1">
      <alignment vertical="top" wrapText="1"/>
    </xf>
    <xf numFmtId="0" fontId="51" fillId="0" borderId="14" xfId="0" applyFont="1" applyFill="1" applyBorder="1" applyAlignment="1">
      <alignment vertical="top"/>
    </xf>
    <xf numFmtId="0" fontId="48" fillId="0" borderId="14" xfId="0" applyFont="1" applyFill="1" applyBorder="1" applyAlignment="1">
      <alignment vertical="top"/>
    </xf>
    <xf numFmtId="0" fontId="48" fillId="0" borderId="14" xfId="0" applyFont="1" applyFill="1" applyBorder="1" applyAlignment="1">
      <alignment horizontal="center" vertical="top"/>
    </xf>
    <xf numFmtId="0" fontId="49" fillId="0" borderId="12" xfId="0" applyFont="1" applyFill="1" applyBorder="1" applyAlignment="1">
      <alignment horizontal="center" vertical="center" wrapText="1"/>
    </xf>
    <xf numFmtId="0" fontId="49" fillId="0" borderId="37" xfId="0" applyFont="1" applyFill="1" applyBorder="1" applyAlignment="1">
      <alignment horizontal="center" vertical="center"/>
    </xf>
    <xf numFmtId="0" fontId="49" fillId="0" borderId="38" xfId="0" applyFont="1" applyFill="1" applyBorder="1" applyAlignment="1">
      <alignment horizontal="center" vertical="center"/>
    </xf>
    <xf numFmtId="0" fontId="49" fillId="0" borderId="39" xfId="0" applyFont="1" applyFill="1" applyBorder="1" applyAlignment="1">
      <alignment horizontal="center" vertical="center"/>
    </xf>
    <xf numFmtId="0" fontId="49" fillId="0" borderId="35" xfId="0" applyFont="1" applyFill="1" applyBorder="1" applyAlignment="1">
      <alignment horizontal="center" vertical="center"/>
    </xf>
    <xf numFmtId="0" fontId="49" fillId="0" borderId="36" xfId="0" applyFont="1" applyFill="1" applyBorder="1" applyAlignment="1">
      <alignment horizontal="center" vertical="center"/>
    </xf>
    <xf numFmtId="0" fontId="49" fillId="0" borderId="30" xfId="0" applyFont="1" applyFill="1" applyBorder="1" applyAlignment="1">
      <alignment horizontal="center" vertical="center"/>
    </xf>
    <xf numFmtId="0" fontId="49" fillId="0" borderId="66" xfId="0" applyFont="1" applyFill="1" applyBorder="1" applyAlignment="1">
      <alignment horizontal="center" vertical="center" wrapText="1"/>
    </xf>
    <xf numFmtId="0" fontId="49" fillId="0" borderId="64" xfId="0" applyFont="1" applyFill="1" applyBorder="1" applyAlignment="1">
      <alignment horizontal="center" vertical="center" wrapText="1"/>
    </xf>
    <xf numFmtId="166" fontId="73" fillId="0" borderId="67" xfId="0" applyNumberFormat="1" applyFont="1" applyFill="1" applyBorder="1" applyAlignment="1">
      <alignment horizontal="center" vertical="center" wrapText="1"/>
    </xf>
    <xf numFmtId="0" fontId="73" fillId="0" borderId="60" xfId="0" applyFont="1" applyFill="1" applyBorder="1" applyAlignment="1">
      <alignment horizontal="center" vertical="center" wrapText="1"/>
    </xf>
    <xf numFmtId="0" fontId="73" fillId="0" borderId="67" xfId="0" applyFont="1" applyFill="1" applyBorder="1" applyAlignment="1">
      <alignment horizontal="center" vertical="center" wrapText="1"/>
    </xf>
    <xf numFmtId="0" fontId="70" fillId="0" borderId="60" xfId="0" applyFont="1" applyFill="1" applyBorder="1" applyAlignment="1">
      <alignment horizontal="center" vertical="center" wrapText="1"/>
    </xf>
    <xf numFmtId="0" fontId="68" fillId="0" borderId="0" xfId="0" applyFont="1" applyFill="1" applyAlignment="1">
      <alignment wrapText="1"/>
    </xf>
    <xf numFmtId="169" fontId="49" fillId="0" borderId="12" xfId="55" applyNumberFormat="1" applyFont="1" applyFill="1" applyBorder="1" applyAlignment="1">
      <alignment horizontal="center" vertical="center"/>
    </xf>
    <xf numFmtId="169" fontId="49" fillId="0" borderId="40" xfId="55" applyNumberFormat="1" applyFont="1" applyFill="1" applyBorder="1" applyAlignment="1">
      <alignment horizontal="center" vertical="center"/>
    </xf>
    <xf numFmtId="0" fontId="49" fillId="0" borderId="13" xfId="0" applyFont="1" applyFill="1" applyBorder="1" applyAlignment="1">
      <alignment horizontal="center" vertical="center" wrapText="1"/>
    </xf>
    <xf numFmtId="0" fontId="49" fillId="0" borderId="40" xfId="0" applyFont="1" applyFill="1" applyBorder="1" applyAlignment="1">
      <alignment horizontal="center" vertical="center" wrapText="1"/>
    </xf>
    <xf numFmtId="0" fontId="68" fillId="0" borderId="0" xfId="0" applyFont="1" applyFill="1" applyAlignment="1">
      <alignment horizontal="justify" wrapText="1"/>
    </xf>
    <xf numFmtId="0" fontId="49" fillId="0" borderId="102" xfId="0" applyFont="1" applyFill="1" applyBorder="1" applyAlignment="1">
      <alignment horizontal="center" vertical="center" wrapText="1"/>
    </xf>
    <xf numFmtId="0" fontId="49" fillId="0" borderId="109" xfId="0" applyFont="1" applyFill="1" applyBorder="1" applyAlignment="1">
      <alignment horizontal="center" vertical="center" wrapText="1"/>
    </xf>
    <xf numFmtId="0" fontId="49" fillId="0" borderId="110" xfId="0" applyFont="1" applyFill="1" applyBorder="1" applyAlignment="1">
      <alignment horizontal="center" vertical="center" wrapText="1"/>
    </xf>
    <xf numFmtId="0" fontId="49" fillId="0" borderId="102" xfId="0" applyFont="1" applyFill="1" applyBorder="1" applyAlignment="1">
      <alignment horizontal="left"/>
    </xf>
    <xf numFmtId="0" fontId="49" fillId="0" borderId="109" xfId="0" applyFont="1" applyFill="1" applyBorder="1" applyAlignment="1">
      <alignment horizontal="left"/>
    </xf>
    <xf numFmtId="0" fontId="49" fillId="0" borderId="110" xfId="0" applyFont="1" applyFill="1" applyBorder="1" applyAlignment="1">
      <alignment horizontal="left"/>
    </xf>
    <xf numFmtId="0" fontId="49" fillId="0" borderId="93" xfId="0" applyFont="1" applyFill="1" applyBorder="1" applyAlignment="1">
      <alignment horizontal="center" vertical="center" wrapText="1"/>
    </xf>
    <xf numFmtId="0" fontId="49" fillId="0" borderId="94" xfId="0" applyFont="1" applyFill="1" applyBorder="1" applyAlignment="1">
      <alignment horizontal="center" vertical="center" wrapText="1"/>
    </xf>
    <xf numFmtId="0" fontId="49" fillId="0" borderId="95" xfId="0" applyFont="1" applyFill="1" applyBorder="1" applyAlignment="1">
      <alignment horizontal="center" vertical="center" wrapText="1"/>
    </xf>
    <xf numFmtId="0" fontId="49" fillId="0" borderId="12" xfId="0" applyFont="1" applyFill="1" applyBorder="1" applyAlignment="1">
      <alignment horizontal="center"/>
    </xf>
    <xf numFmtId="0" fontId="49" fillId="0" borderId="13" xfId="0" applyFont="1" applyFill="1" applyBorder="1" applyAlignment="1">
      <alignment horizontal="center"/>
    </xf>
    <xf numFmtId="0" fontId="49" fillId="0" borderId="40" xfId="0" applyFont="1" applyFill="1" applyBorder="1" applyAlignment="1">
      <alignment horizontal="center"/>
    </xf>
    <xf numFmtId="0" fontId="73" fillId="0" borderId="78" xfId="0" applyFont="1" applyFill="1" applyBorder="1" applyAlignment="1">
      <alignment horizontal="center" vertical="center" wrapText="1"/>
    </xf>
    <xf numFmtId="0" fontId="73" fillId="0" borderId="80" xfId="0" applyFont="1" applyFill="1" applyBorder="1" applyAlignment="1">
      <alignment horizontal="center" vertical="center" wrapText="1"/>
    </xf>
    <xf numFmtId="0" fontId="73" fillId="0" borderId="79" xfId="0" applyFont="1" applyFill="1" applyBorder="1" applyAlignment="1">
      <alignment horizontal="center" vertical="center" wrapText="1"/>
    </xf>
    <xf numFmtId="0" fontId="49" fillId="0" borderId="12" xfId="0" applyFont="1" applyFill="1" applyBorder="1" applyAlignment="1">
      <alignment horizontal="left" vertical="center" wrapText="1"/>
    </xf>
    <xf numFmtId="0" fontId="49" fillId="0" borderId="13" xfId="0" applyFont="1" applyFill="1" applyBorder="1" applyAlignment="1">
      <alignment horizontal="left" vertical="center" wrapText="1"/>
    </xf>
    <xf numFmtId="0" fontId="49" fillId="0" borderId="40" xfId="0" applyFont="1" applyFill="1" applyBorder="1" applyAlignment="1">
      <alignment horizontal="left" vertical="center" wrapText="1"/>
    </xf>
    <xf numFmtId="0" fontId="49" fillId="0" borderId="10" xfId="0" applyFont="1" applyFill="1" applyBorder="1" applyAlignment="1">
      <alignment horizontal="center" vertical="center"/>
    </xf>
    <xf numFmtId="0" fontId="49" fillId="0" borderId="0" xfId="0" applyFont="1" applyFill="1" applyAlignment="1">
      <alignment horizontal="center" vertical="center"/>
    </xf>
    <xf numFmtId="0" fontId="68" fillId="0" borderId="77" xfId="0" applyFont="1" applyFill="1" applyBorder="1" applyAlignment="1">
      <alignment horizontal="left"/>
    </xf>
    <xf numFmtId="0" fontId="68" fillId="0" borderId="87" xfId="0" applyFont="1" applyFill="1" applyBorder="1" applyAlignment="1">
      <alignment horizontal="left"/>
    </xf>
    <xf numFmtId="0" fontId="68" fillId="0" borderId="84" xfId="0" applyFont="1" applyFill="1" applyBorder="1" applyAlignment="1">
      <alignment horizontal="left"/>
    </xf>
    <xf numFmtId="0" fontId="68" fillId="0" borderId="10" xfId="0" applyFont="1" applyFill="1" applyBorder="1" applyAlignment="1">
      <alignment horizontal="left"/>
    </xf>
    <xf numFmtId="0" fontId="68" fillId="0" borderId="0" xfId="0" applyFont="1" applyFill="1" applyAlignment="1">
      <alignment horizontal="left"/>
    </xf>
    <xf numFmtId="0" fontId="68" fillId="0" borderId="28" xfId="0" applyFont="1" applyFill="1" applyBorder="1" applyAlignment="1">
      <alignment horizontal="left"/>
    </xf>
    <xf numFmtId="0" fontId="68" fillId="0" borderId="38" xfId="0" applyFont="1" applyFill="1" applyBorder="1" applyAlignment="1">
      <alignment horizontal="left" wrapText="1"/>
    </xf>
    <xf numFmtId="0" fontId="68" fillId="0" borderId="0" xfId="0" applyFont="1" applyFill="1" applyAlignment="1">
      <alignment horizontal="left" wrapText="1"/>
    </xf>
    <xf numFmtId="0" fontId="48" fillId="0" borderId="14" xfId="0" applyFont="1" applyFill="1" applyBorder="1" applyAlignment="1">
      <alignment horizontal="center" vertical="center" wrapText="1"/>
    </xf>
    <xf numFmtId="0" fontId="48" fillId="0" borderId="12" xfId="0" applyFont="1" applyFill="1" applyBorder="1" applyAlignment="1">
      <alignment horizontal="center" vertical="center" wrapText="1"/>
    </xf>
    <xf numFmtId="0" fontId="48" fillId="0" borderId="86" xfId="0" applyFont="1" applyFill="1" applyBorder="1" applyAlignment="1">
      <alignment horizontal="center" vertical="center" wrapText="1"/>
    </xf>
    <xf numFmtId="0" fontId="51" fillId="0" borderId="35" xfId="0" applyFont="1" applyFill="1" applyBorder="1" applyAlignment="1">
      <alignment wrapText="1"/>
    </xf>
    <xf numFmtId="0" fontId="51" fillId="0" borderId="36" xfId="0" applyFont="1" applyFill="1" applyBorder="1" applyAlignment="1">
      <alignment wrapText="1"/>
    </xf>
    <xf numFmtId="0" fontId="51" fillId="0" borderId="30" xfId="0" applyFont="1" applyFill="1" applyBorder="1" applyAlignment="1">
      <alignment wrapText="1"/>
    </xf>
    <xf numFmtId="0" fontId="48" fillId="0" borderId="55" xfId="0" applyFont="1" applyFill="1" applyBorder="1" applyAlignment="1">
      <alignment horizontal="center" vertical="center"/>
    </xf>
    <xf numFmtId="0" fontId="48" fillId="0" borderId="27" xfId="0" applyFont="1" applyFill="1" applyBorder="1" applyAlignment="1">
      <alignment horizontal="center" vertical="center"/>
    </xf>
    <xf numFmtId="0" fontId="48" fillId="0" borderId="32" xfId="0" applyFont="1" applyFill="1" applyBorder="1" applyAlignment="1">
      <alignment horizontal="center" vertical="center"/>
    </xf>
    <xf numFmtId="0" fontId="48" fillId="0" borderId="56" xfId="0" applyFont="1" applyFill="1" applyBorder="1" applyAlignment="1">
      <alignment horizontal="center"/>
    </xf>
    <xf numFmtId="0" fontId="48" fillId="0" borderId="52" xfId="0" applyFont="1" applyFill="1" applyBorder="1" applyAlignment="1">
      <alignment horizontal="center"/>
    </xf>
    <xf numFmtId="0" fontId="48" fillId="0" borderId="57" xfId="0" applyFont="1" applyFill="1" applyBorder="1" applyAlignment="1">
      <alignment horizontal="center"/>
    </xf>
    <xf numFmtId="0" fontId="81" fillId="0" borderId="11" xfId="0" applyFont="1" applyFill="1" applyBorder="1" applyAlignment="1">
      <alignment horizontal="center" vertical="center" wrapText="1"/>
    </xf>
    <xf numFmtId="0" fontId="81" fillId="0" borderId="34" xfId="0" applyFont="1" applyFill="1" applyBorder="1" applyAlignment="1">
      <alignment horizontal="center" vertical="center" wrapText="1"/>
    </xf>
    <xf numFmtId="0" fontId="81" fillId="0" borderId="26" xfId="0" applyFont="1" applyFill="1" applyBorder="1" applyAlignment="1">
      <alignment horizontal="center" vertical="center" wrapText="1"/>
    </xf>
    <xf numFmtId="0" fontId="81" fillId="0" borderId="58" xfId="0" applyFont="1" applyFill="1" applyBorder="1" applyAlignment="1">
      <alignment horizontal="center" vertical="center" wrapText="1"/>
    </xf>
    <xf numFmtId="0" fontId="81" fillId="0" borderId="11" xfId="0" applyFont="1" applyFill="1" applyBorder="1" applyAlignment="1">
      <alignment horizontal="center" vertical="top" wrapText="1"/>
    </xf>
    <xf numFmtId="0" fontId="81" fillId="0" borderId="34" xfId="0" applyFont="1" applyFill="1" applyBorder="1" applyAlignment="1">
      <alignment horizontal="center" vertical="top" wrapText="1"/>
    </xf>
    <xf numFmtId="0" fontId="51" fillId="0" borderId="0" xfId="0" applyFont="1" applyFill="1" applyAlignment="1">
      <alignment horizontal="justify"/>
    </xf>
    <xf numFmtId="0" fontId="48" fillId="0" borderId="53" xfId="0" applyFont="1" applyFill="1" applyBorder="1" applyAlignment="1">
      <alignment horizontal="center"/>
    </xf>
    <xf numFmtId="0" fontId="48" fillId="0" borderId="54" xfId="0" applyFont="1" applyFill="1" applyBorder="1" applyAlignment="1">
      <alignment horizontal="center"/>
    </xf>
    <xf numFmtId="0" fontId="48" fillId="0" borderId="0" xfId="0" applyFont="1" applyFill="1" applyAlignment="1">
      <alignment horizontal="right"/>
    </xf>
    <xf numFmtId="0" fontId="33" fillId="0" borderId="49" xfId="143" applyFont="1" applyFill="1" applyBorder="1" applyAlignment="1">
      <alignment horizontal="left" vertical="center" wrapText="1"/>
    </xf>
    <xf numFmtId="0" fontId="33" fillId="0" borderId="42" xfId="143" applyFont="1" applyFill="1" applyBorder="1" applyAlignment="1">
      <alignment horizontal="left" vertical="center" wrapText="1"/>
    </xf>
    <xf numFmtId="0" fontId="33" fillId="0" borderId="43" xfId="143" applyFont="1" applyFill="1" applyBorder="1" applyAlignment="1">
      <alignment horizontal="left" vertical="center" wrapText="1"/>
    </xf>
    <xf numFmtId="0" fontId="33" fillId="0" borderId="50" xfId="143" applyFont="1" applyFill="1" applyBorder="1" applyAlignment="1">
      <alignment horizontal="center" wrapText="1"/>
    </xf>
    <xf numFmtId="0" fontId="82" fillId="0" borderId="42" xfId="146" applyFont="1" applyFill="1" applyBorder="1" applyAlignment="1">
      <alignment horizontal="center" vertical="center"/>
    </xf>
    <xf numFmtId="0" fontId="82" fillId="0" borderId="43" xfId="146" applyFont="1" applyFill="1" applyBorder="1" applyAlignment="1">
      <alignment horizontal="center" vertical="center"/>
    </xf>
    <xf numFmtId="0" fontId="82" fillId="0" borderId="110" xfId="146" applyFont="1" applyFill="1" applyBorder="1" applyAlignment="1">
      <alignment horizontal="center" vertical="center"/>
    </xf>
    <xf numFmtId="0" fontId="82" fillId="0" borderId="98" xfId="146" applyFont="1" applyFill="1" applyBorder="1" applyAlignment="1">
      <alignment horizontal="center" vertical="center"/>
    </xf>
    <xf numFmtId="0" fontId="82" fillId="0" borderId="98" xfId="146" applyFont="1" applyFill="1" applyBorder="1" applyAlignment="1">
      <alignment horizontal="center"/>
    </xf>
    <xf numFmtId="0" fontId="82" fillId="0" borderId="99" xfId="146" applyFont="1" applyFill="1" applyBorder="1" applyAlignment="1">
      <alignment horizontal="center"/>
    </xf>
    <xf numFmtId="0" fontId="83" fillId="0" borderId="110" xfId="146" applyFont="1" applyFill="1" applyBorder="1" applyAlignment="1">
      <alignment horizontal="left"/>
    </xf>
    <xf numFmtId="0" fontId="83" fillId="0" borderId="98" xfId="146" applyFont="1" applyFill="1" applyBorder="1" applyAlignment="1">
      <alignment horizontal="left"/>
    </xf>
    <xf numFmtId="0" fontId="60" fillId="0" borderId="36" xfId="146" applyFont="1" applyFill="1" applyBorder="1" applyAlignment="1">
      <alignment horizontal="center"/>
    </xf>
    <xf numFmtId="0" fontId="60" fillId="0" borderId="30" xfId="146" applyFont="1" applyFill="1" applyBorder="1" applyAlignment="1">
      <alignment horizontal="center"/>
    </xf>
    <xf numFmtId="0" fontId="83" fillId="0" borderId="108" xfId="146" applyFont="1" applyFill="1" applyBorder="1" applyAlignment="1">
      <alignment horizontal="center" vertical="center"/>
    </xf>
    <xf numFmtId="0" fontId="83" fillId="0" borderId="105" xfId="146" applyFont="1" applyFill="1" applyBorder="1" applyAlignment="1">
      <alignment horizontal="center" vertical="center"/>
    </xf>
    <xf numFmtId="0" fontId="83" fillId="0" borderId="36" xfId="146" applyFont="1" applyFill="1" applyBorder="1" applyAlignment="1">
      <alignment horizontal="center" vertical="center"/>
    </xf>
    <xf numFmtId="0" fontId="83" fillId="0" borderId="30" xfId="146" applyFont="1" applyFill="1" applyBorder="1" applyAlignment="1">
      <alignment horizontal="center" vertical="center"/>
    </xf>
    <xf numFmtId="0" fontId="83" fillId="0" borderId="102" xfId="146" applyFont="1" applyFill="1" applyBorder="1" applyAlignment="1">
      <alignment horizontal="center"/>
    </xf>
    <xf numFmtId="0" fontId="83" fillId="0" borderId="110" xfId="146" applyFont="1" applyFill="1" applyBorder="1" applyAlignment="1">
      <alignment horizontal="center"/>
    </xf>
    <xf numFmtId="0" fontId="83" fillId="0" borderId="109" xfId="146" applyFont="1" applyFill="1" applyBorder="1" applyAlignment="1">
      <alignment horizontal="center"/>
    </xf>
    <xf numFmtId="0" fontId="83" fillId="0" borderId="101" xfId="146" applyFont="1" applyFill="1" applyBorder="1" applyAlignment="1">
      <alignment horizontal="center" vertical="center"/>
    </xf>
    <xf numFmtId="0" fontId="83" fillId="0" borderId="31" xfId="146" applyFont="1" applyFill="1" applyBorder="1" applyAlignment="1">
      <alignment horizontal="center" vertical="center"/>
    </xf>
    <xf numFmtId="0" fontId="60" fillId="0" borderId="108" xfId="146" applyFont="1" applyFill="1" applyBorder="1" applyAlignment="1">
      <alignment horizontal="center" vertical="center"/>
    </xf>
    <xf numFmtId="0" fontId="60" fillId="0" borderId="105" xfId="146" applyFont="1" applyFill="1" applyBorder="1" applyAlignment="1">
      <alignment horizontal="center" vertical="center"/>
    </xf>
    <xf numFmtId="0" fontId="60" fillId="0" borderId="0" xfId="146" applyFont="1" applyFill="1" applyAlignment="1">
      <alignment horizontal="center" vertical="center"/>
    </xf>
    <xf numFmtId="0" fontId="60" fillId="0" borderId="28" xfId="146" applyFont="1" applyFill="1" applyBorder="1" applyAlignment="1">
      <alignment horizontal="center" vertical="center"/>
    </xf>
    <xf numFmtId="0" fontId="82" fillId="0" borderId="54" xfId="146" applyFont="1" applyFill="1" applyBorder="1" applyAlignment="1">
      <alignment horizontal="center" vertical="center"/>
    </xf>
    <xf numFmtId="0" fontId="82" fillId="0" borderId="56" xfId="146" applyFont="1" applyFill="1" applyBorder="1" applyAlignment="1">
      <alignment horizontal="center" vertical="center"/>
    </xf>
    <xf numFmtId="0" fontId="82" fillId="0" borderId="56" xfId="146" applyFont="1" applyFill="1" applyBorder="1" applyAlignment="1">
      <alignment horizontal="center"/>
    </xf>
    <xf numFmtId="0" fontId="82" fillId="0" borderId="81" xfId="146" applyFont="1" applyFill="1" applyBorder="1" applyAlignment="1">
      <alignment horizontal="center"/>
    </xf>
    <xf numFmtId="0" fontId="83" fillId="0" borderId="0" xfId="146" applyFont="1" applyFill="1" applyAlignment="1">
      <alignment horizontal="left" wrapText="1"/>
    </xf>
    <xf numFmtId="0" fontId="83" fillId="0" borderId="111" xfId="146" applyFont="1" applyFill="1" applyBorder="1" applyAlignment="1">
      <alignment horizontal="left"/>
    </xf>
    <xf numFmtId="0" fontId="83" fillId="0" borderId="103" xfId="146" applyFont="1" applyFill="1" applyBorder="1" applyAlignment="1">
      <alignment horizontal="left"/>
    </xf>
    <xf numFmtId="0" fontId="83" fillId="0" borderId="22" xfId="146" applyFont="1" applyFill="1" applyBorder="1" applyAlignment="1">
      <alignment horizontal="left" wrapText="1"/>
    </xf>
    <xf numFmtId="0" fontId="51" fillId="0" borderId="10" xfId="0" applyFont="1" applyFill="1" applyBorder="1" applyAlignment="1">
      <alignment horizontal="left" vertical="center" wrapText="1"/>
    </xf>
    <xf numFmtId="0" fontId="51" fillId="0" borderId="0" xfId="0" applyFont="1" applyFill="1" applyAlignment="1">
      <alignment horizontal="left" vertical="center" wrapText="1"/>
    </xf>
    <xf numFmtId="0" fontId="51" fillId="0" borderId="28" xfId="0" applyFont="1" applyFill="1" applyBorder="1" applyAlignment="1">
      <alignment horizontal="left" vertical="center" wrapText="1"/>
    </xf>
    <xf numFmtId="0" fontId="51" fillId="0" borderId="35" xfId="0" applyFont="1" applyFill="1" applyBorder="1" applyAlignment="1">
      <alignment horizontal="left" vertical="center" wrapText="1"/>
    </xf>
    <xf numFmtId="0" fontId="51" fillId="0" borderId="36" xfId="0" applyFont="1" applyFill="1" applyBorder="1" applyAlignment="1">
      <alignment horizontal="left" vertical="center" wrapText="1"/>
    </xf>
    <xf numFmtId="0" fontId="51" fillId="0" borderId="30" xfId="0" applyFont="1" applyFill="1" applyBorder="1" applyAlignment="1">
      <alignment horizontal="left" vertical="center" wrapText="1"/>
    </xf>
    <xf numFmtId="0" fontId="51" fillId="0" borderId="36" xfId="0" applyFont="1" applyFill="1" applyBorder="1" applyAlignment="1">
      <alignment vertical="top" wrapText="1"/>
    </xf>
    <xf numFmtId="0" fontId="51" fillId="0" borderId="14" xfId="0" applyFont="1" applyFill="1" applyBorder="1" applyAlignment="1">
      <alignment horizontal="center" vertical="center"/>
    </xf>
    <xf numFmtId="0" fontId="51" fillId="0" borderId="14" xfId="0" applyFont="1" applyFill="1" applyBorder="1" applyAlignment="1">
      <alignment horizontal="center" vertical="center" wrapText="1"/>
    </xf>
    <xf numFmtId="0" fontId="48" fillId="0" borderId="40" xfId="0" applyFont="1" applyFill="1" applyBorder="1" applyAlignment="1">
      <alignment horizontal="center" vertical="center" wrapText="1"/>
    </xf>
    <xf numFmtId="0" fontId="48" fillId="0" borderId="37" xfId="0" applyFont="1" applyFill="1" applyBorder="1" applyAlignment="1">
      <alignment vertical="center" wrapText="1"/>
    </xf>
    <xf numFmtId="0" fontId="48" fillId="0" borderId="38" xfId="0" applyFont="1" applyFill="1" applyBorder="1" applyAlignment="1">
      <alignment vertical="center" wrapText="1"/>
    </xf>
    <xf numFmtId="0" fontId="48" fillId="0" borderId="39" xfId="0" applyFont="1" applyFill="1" applyBorder="1" applyAlignment="1">
      <alignment vertical="center" wrapText="1"/>
    </xf>
    <xf numFmtId="0" fontId="48" fillId="0" borderId="35" xfId="0" applyFont="1" applyFill="1" applyBorder="1" applyAlignment="1">
      <alignment vertical="center" wrapText="1"/>
    </xf>
    <xf numFmtId="0" fontId="48" fillId="0" borderId="36" xfId="0" applyFont="1" applyFill="1" applyBorder="1" applyAlignment="1">
      <alignment vertical="center" wrapText="1"/>
    </xf>
    <xf numFmtId="0" fontId="48" fillId="0" borderId="30" xfId="0" applyFont="1" applyFill="1" applyBorder="1" applyAlignment="1">
      <alignment vertical="center" wrapText="1"/>
    </xf>
    <xf numFmtId="0" fontId="86" fillId="0" borderId="68" xfId="99" applyFont="1" applyFill="1" applyBorder="1" applyAlignment="1">
      <alignment horizontal="left" wrapText="1"/>
    </xf>
    <xf numFmtId="0" fontId="86" fillId="0" borderId="69" xfId="99" applyFont="1" applyFill="1" applyBorder="1" applyAlignment="1">
      <alignment horizontal="left" wrapText="1"/>
    </xf>
    <xf numFmtId="0" fontId="85" fillId="0" borderId="68" xfId="99" applyFont="1" applyFill="1" applyBorder="1" applyAlignment="1">
      <alignment horizontal="left" wrapText="1"/>
    </xf>
    <xf numFmtId="0" fontId="85" fillId="0" borderId="69" xfId="99" applyFont="1" applyFill="1" applyBorder="1" applyAlignment="1">
      <alignment horizontal="left" wrapText="1"/>
    </xf>
    <xf numFmtId="0" fontId="60" fillId="0" borderId="68" xfId="99" applyFont="1" applyFill="1" applyBorder="1" applyAlignment="1">
      <alignment horizontal="center" vertical="top" wrapText="1"/>
    </xf>
    <xf numFmtId="0" fontId="60" fillId="0" borderId="69" xfId="99" applyFont="1" applyFill="1" applyBorder="1" applyAlignment="1">
      <alignment horizontal="center" vertical="top" wrapText="1"/>
    </xf>
    <xf numFmtId="0" fontId="51" fillId="0" borderId="10" xfId="0" applyFont="1" applyFill="1" applyBorder="1"/>
    <xf numFmtId="0" fontId="51" fillId="0" borderId="0" xfId="0" applyFont="1" applyFill="1"/>
    <xf numFmtId="0" fontId="51" fillId="0" borderId="28" xfId="0" applyFont="1" applyFill="1" applyBorder="1"/>
    <xf numFmtId="0" fontId="48" fillId="0" borderId="10" xfId="0" applyFont="1" applyFill="1" applyBorder="1"/>
    <xf numFmtId="0" fontId="48" fillId="0" borderId="0" xfId="0" applyFont="1" applyFill="1"/>
    <xf numFmtId="0" fontId="48" fillId="0" borderId="28" xfId="0" applyFont="1" applyFill="1" applyBorder="1"/>
    <xf numFmtId="0" fontId="60" fillId="0" borderId="71" xfId="99" applyFont="1" applyFill="1" applyBorder="1" applyAlignment="1">
      <alignment horizontal="left" vertical="top" wrapText="1"/>
    </xf>
    <xf numFmtId="0" fontId="60" fillId="0" borderId="73" xfId="99" applyFont="1" applyFill="1" applyBorder="1" applyAlignment="1">
      <alignment horizontal="left" vertical="top" wrapText="1"/>
    </xf>
    <xf numFmtId="0" fontId="60" fillId="0" borderId="72" xfId="99" applyFont="1" applyFill="1" applyBorder="1" applyAlignment="1">
      <alignment horizontal="left" vertical="top" wrapText="1"/>
    </xf>
    <xf numFmtId="0" fontId="60" fillId="0" borderId="68" xfId="99" applyFont="1" applyFill="1" applyBorder="1" applyAlignment="1">
      <alignment horizontal="center" vertical="center" wrapText="1"/>
    </xf>
    <xf numFmtId="0" fontId="60" fillId="0" borderId="69" xfId="99" applyFont="1" applyFill="1" applyBorder="1" applyAlignment="1">
      <alignment horizontal="center" vertical="center" wrapText="1"/>
    </xf>
    <xf numFmtId="0" fontId="55" fillId="0" borderId="68" xfId="99" applyFont="1" applyFill="1" applyBorder="1" applyAlignment="1">
      <alignment horizontal="center" vertical="center" wrapText="1"/>
    </xf>
    <xf numFmtId="0" fontId="55" fillId="0" borderId="69" xfId="99" applyFont="1" applyFill="1" applyBorder="1" applyAlignment="1">
      <alignment horizontal="center" vertical="center" wrapText="1"/>
    </xf>
    <xf numFmtId="167" fontId="86" fillId="0" borderId="68" xfId="99" applyNumberFormat="1" applyFont="1" applyFill="1" applyBorder="1" applyAlignment="1">
      <alignment horizontal="center" vertical="top" shrinkToFit="1"/>
    </xf>
    <xf numFmtId="167" fontId="86" fillId="0" borderId="69" xfId="99" applyNumberFormat="1" applyFont="1" applyFill="1" applyBorder="1" applyAlignment="1">
      <alignment horizontal="center" vertical="top" shrinkToFit="1"/>
    </xf>
    <xf numFmtId="0" fontId="51" fillId="0" borderId="70" xfId="0" applyFont="1" applyFill="1" applyBorder="1" applyAlignment="1">
      <alignment vertical="top"/>
    </xf>
    <xf numFmtId="0" fontId="48" fillId="0" borderId="0" xfId="0" applyFont="1" applyFill="1" applyAlignment="1">
      <alignment wrapText="1"/>
    </xf>
    <xf numFmtId="0" fontId="55" fillId="0" borderId="68" xfId="99" applyFont="1" applyFill="1" applyBorder="1" applyAlignment="1">
      <alignment horizontal="center" vertical="top" wrapText="1"/>
    </xf>
    <xf numFmtId="0" fontId="55" fillId="0" borderId="69" xfId="99" applyFont="1" applyFill="1" applyBorder="1" applyAlignment="1">
      <alignment horizontal="center" vertical="top" wrapText="1"/>
    </xf>
    <xf numFmtId="0" fontId="55" fillId="0" borderId="71" xfId="99" applyFont="1" applyFill="1" applyBorder="1" applyAlignment="1">
      <alignment horizontal="left" vertical="center" wrapText="1"/>
    </xf>
    <xf numFmtId="0" fontId="55" fillId="0" borderId="73" xfId="99" applyFont="1" applyFill="1" applyBorder="1" applyAlignment="1">
      <alignment horizontal="left" vertical="center" wrapText="1"/>
    </xf>
    <xf numFmtId="0" fontId="55" fillId="0" borderId="72" xfId="99" applyFont="1" applyFill="1" applyBorder="1" applyAlignment="1">
      <alignment horizontal="left" vertical="center" wrapText="1"/>
    </xf>
    <xf numFmtId="0" fontId="48" fillId="0" borderId="10" xfId="0" applyFont="1" applyFill="1" applyBorder="1" applyAlignment="1">
      <alignment wrapText="1"/>
    </xf>
    <xf numFmtId="0" fontId="48" fillId="0" borderId="37" xfId="0" applyFont="1" applyFill="1" applyBorder="1"/>
    <xf numFmtId="0" fontId="48" fillId="0" borderId="38" xfId="0" applyFont="1" applyFill="1" applyBorder="1"/>
    <xf numFmtId="0" fontId="48" fillId="0" borderId="39" xfId="0" applyFont="1" applyFill="1" applyBorder="1"/>
    <xf numFmtId="0" fontId="48" fillId="0" borderId="28" xfId="0" applyFont="1" applyFill="1" applyBorder="1" applyAlignment="1">
      <alignment wrapText="1"/>
    </xf>
    <xf numFmtId="0" fontId="51" fillId="0" borderId="10" xfId="0" applyFont="1" applyFill="1" applyBorder="1" applyAlignment="1">
      <alignment wrapText="1"/>
    </xf>
    <xf numFmtId="0" fontId="51" fillId="0" borderId="35" xfId="0" applyFont="1" applyFill="1" applyBorder="1"/>
    <xf numFmtId="0" fontId="51" fillId="0" borderId="36" xfId="0" applyFont="1" applyFill="1" applyBorder="1"/>
    <xf numFmtId="0" fontId="51" fillId="0" borderId="30" xfId="0" applyFont="1" applyFill="1" applyBorder="1"/>
    <xf numFmtId="0" fontId="51" fillId="0" borderId="0" xfId="0" applyFont="1" applyFill="1" applyAlignment="1">
      <alignment wrapText="1"/>
    </xf>
    <xf numFmtId="0" fontId="51" fillId="0" borderId="28" xfId="0" applyFont="1" applyFill="1" applyBorder="1" applyAlignment="1">
      <alignment wrapText="1"/>
    </xf>
    <xf numFmtId="0" fontId="48" fillId="0" borderId="13" xfId="0" applyFont="1" applyFill="1" applyBorder="1" applyAlignment="1">
      <alignment horizontal="center" vertical="center" wrapText="1"/>
    </xf>
    <xf numFmtId="0" fontId="51" fillId="0" borderId="37" xfId="0" applyFont="1" applyFill="1" applyBorder="1"/>
    <xf numFmtId="0" fontId="51" fillId="0" borderId="38" xfId="0" applyFont="1" applyFill="1" applyBorder="1"/>
    <xf numFmtId="0" fontId="51" fillId="0" borderId="39" xfId="0" applyFont="1" applyFill="1" applyBorder="1"/>
    <xf numFmtId="0" fontId="48" fillId="0" borderId="0" xfId="0" applyFont="1" applyFill="1" applyAlignment="1">
      <alignment horizontal="left"/>
    </xf>
    <xf numFmtId="166" fontId="48" fillId="0" borderId="12" xfId="55" applyNumberFormat="1" applyFont="1" applyFill="1" applyBorder="1" applyAlignment="1">
      <alignment horizontal="center" vertical="center" wrapText="1"/>
    </xf>
    <xf numFmtId="166" fontId="48" fillId="0" borderId="13" xfId="55" applyNumberFormat="1" applyFont="1" applyFill="1" applyBorder="1" applyAlignment="1">
      <alignment horizontal="center" vertical="center" wrapText="1"/>
    </xf>
    <xf numFmtId="166" fontId="48" fillId="0" borderId="40" xfId="55" applyNumberFormat="1" applyFont="1" applyFill="1" applyBorder="1" applyAlignment="1">
      <alignment horizontal="center" vertical="center" wrapText="1"/>
    </xf>
    <xf numFmtId="0" fontId="48" fillId="0" borderId="14" xfId="0" applyFont="1" applyFill="1" applyBorder="1" applyAlignment="1">
      <alignment horizontal="center" vertical="center"/>
    </xf>
    <xf numFmtId="0" fontId="48" fillId="0" borderId="37" xfId="0" applyFont="1" applyFill="1" applyBorder="1" applyAlignment="1">
      <alignment horizontal="center" vertical="center" wrapText="1"/>
    </xf>
    <xf numFmtId="0" fontId="48" fillId="0" borderId="38" xfId="0" applyFont="1" applyFill="1" applyBorder="1" applyAlignment="1">
      <alignment horizontal="center" vertical="center" wrapText="1"/>
    </xf>
    <xf numFmtId="0" fontId="48" fillId="0" borderId="35" xfId="0" applyFont="1" applyFill="1" applyBorder="1" applyAlignment="1">
      <alignment horizontal="center" vertical="center" wrapText="1"/>
    </xf>
    <xf numFmtId="0" fontId="48" fillId="0" borderId="36" xfId="0" applyFont="1" applyFill="1" applyBorder="1" applyAlignment="1">
      <alignment horizontal="center" vertical="center" wrapText="1"/>
    </xf>
    <xf numFmtId="0" fontId="51" fillId="0" borderId="14" xfId="0" applyFont="1" applyFill="1" applyBorder="1"/>
    <xf numFmtId="0" fontId="48" fillId="0" borderId="12" xfId="0" applyFont="1" applyFill="1" applyBorder="1" applyAlignment="1">
      <alignment horizontal="left" vertical="center"/>
    </xf>
    <xf numFmtId="0" fontId="48" fillId="0" borderId="13" xfId="0" applyFont="1" applyFill="1" applyBorder="1" applyAlignment="1">
      <alignment horizontal="left" vertical="center"/>
    </xf>
    <xf numFmtId="0" fontId="48" fillId="0" borderId="40" xfId="0" applyFont="1" applyFill="1" applyBorder="1" applyAlignment="1">
      <alignment horizontal="left" vertical="center"/>
    </xf>
    <xf numFmtId="0" fontId="51" fillId="0" borderId="37" xfId="0" applyFont="1" applyFill="1" applyBorder="1" applyAlignment="1">
      <alignment horizontal="left"/>
    </xf>
    <xf numFmtId="0" fontId="51" fillId="0" borderId="38" xfId="0" applyFont="1" applyFill="1" applyBorder="1" applyAlignment="1">
      <alignment horizontal="left"/>
    </xf>
    <xf numFmtId="0" fontId="51" fillId="0" borderId="39" xfId="0" applyFont="1" applyFill="1" applyBorder="1" applyAlignment="1">
      <alignment horizontal="left"/>
    </xf>
    <xf numFmtId="0" fontId="51" fillId="0" borderId="10" xfId="0" applyFont="1" applyFill="1" applyBorder="1" applyAlignment="1">
      <alignment horizontal="left"/>
    </xf>
    <xf numFmtId="0" fontId="51" fillId="0" borderId="0" xfId="0" applyFont="1" applyFill="1" applyAlignment="1">
      <alignment horizontal="left"/>
    </xf>
    <xf numFmtId="0" fontId="51" fillId="0" borderId="28" xfId="0" applyFont="1" applyFill="1" applyBorder="1" applyAlignment="1">
      <alignment horizontal="left"/>
    </xf>
    <xf numFmtId="0" fontId="48" fillId="0" borderId="12" xfId="0" applyFont="1" applyFill="1" applyBorder="1" applyAlignment="1">
      <alignment horizontal="center" vertical="center"/>
    </xf>
    <xf numFmtId="0" fontId="48" fillId="0" borderId="13" xfId="0" applyFont="1" applyFill="1" applyBorder="1" applyAlignment="1">
      <alignment horizontal="center" vertical="center"/>
    </xf>
    <xf numFmtId="0" fontId="48" fillId="0" borderId="40" xfId="0" applyFont="1" applyFill="1" applyBorder="1" applyAlignment="1">
      <alignment horizontal="center" vertical="center"/>
    </xf>
    <xf numFmtId="0" fontId="51" fillId="0" borderId="0" xfId="0" applyFont="1" applyFill="1" applyAlignment="1">
      <alignment horizontal="left" wrapText="1"/>
    </xf>
    <xf numFmtId="0" fontId="48" fillId="0" borderId="100" xfId="0" applyFont="1" applyFill="1" applyBorder="1" applyAlignment="1">
      <alignment horizontal="center" vertical="center" wrapText="1"/>
    </xf>
    <xf numFmtId="0" fontId="48" fillId="0" borderId="11" xfId="0" applyFont="1" applyFill="1" applyBorder="1" applyAlignment="1">
      <alignment horizontal="center" vertical="center" wrapText="1"/>
    </xf>
    <xf numFmtId="0" fontId="51" fillId="0" borderId="107" xfId="0" applyFont="1" applyFill="1" applyBorder="1" applyAlignment="1">
      <alignment horizontal="left"/>
    </xf>
    <xf numFmtId="0" fontId="51" fillId="0" borderId="108" xfId="0" applyFont="1" applyFill="1" applyBorder="1" applyAlignment="1">
      <alignment horizontal="left"/>
    </xf>
    <xf numFmtId="0" fontId="51" fillId="0" borderId="105" xfId="0" applyFont="1" applyFill="1" applyBorder="1" applyAlignment="1">
      <alignment horizontal="left"/>
    </xf>
    <xf numFmtId="0" fontId="51" fillId="0" borderId="35" xfId="0" applyFont="1" applyFill="1" applyBorder="1" applyAlignment="1">
      <alignment horizontal="left"/>
    </xf>
    <xf numFmtId="0" fontId="51" fillId="0" borderId="36" xfId="0" applyFont="1" applyFill="1" applyBorder="1" applyAlignment="1">
      <alignment horizontal="left"/>
    </xf>
    <xf numFmtId="0" fontId="51" fillId="0" borderId="30" xfId="0" applyFont="1" applyFill="1" applyBorder="1" applyAlignment="1">
      <alignment horizontal="left"/>
    </xf>
    <xf numFmtId="0" fontId="33" fillId="0" borderId="49" xfId="143" applyFont="1" applyBorder="1" applyAlignment="1">
      <alignment horizontal="left" vertical="center" wrapText="1"/>
    </xf>
    <xf numFmtId="0" fontId="33" fillId="0" borderId="42" xfId="143" applyFont="1" applyBorder="1" applyAlignment="1">
      <alignment horizontal="left" vertical="center" wrapText="1"/>
    </xf>
    <xf numFmtId="0" fontId="33" fillId="0" borderId="43" xfId="143" applyFont="1" applyBorder="1" applyAlignment="1">
      <alignment horizontal="left" vertical="center" wrapText="1"/>
    </xf>
    <xf numFmtId="0" fontId="33" fillId="0" borderId="50" xfId="143" applyFont="1" applyBorder="1" applyAlignment="1">
      <alignment horizontal="center" wrapText="1"/>
    </xf>
    <xf numFmtId="49" fontId="32" fillId="0" borderId="23" xfId="0" applyNumberFormat="1" applyFont="1" applyFill="1" applyBorder="1" applyAlignment="1">
      <alignment vertical="top"/>
    </xf>
    <xf numFmtId="49" fontId="32" fillId="0" borderId="24" xfId="0" applyNumberFormat="1" applyFont="1" applyFill="1" applyBorder="1" applyAlignment="1">
      <alignment vertical="top"/>
    </xf>
    <xf numFmtId="49" fontId="32" fillId="0" borderId="25" xfId="0" applyNumberFormat="1" applyFont="1" applyFill="1" applyBorder="1" applyAlignment="1">
      <alignment vertical="top"/>
    </xf>
    <xf numFmtId="49" fontId="31" fillId="0" borderId="45" xfId="0" applyNumberFormat="1" applyFont="1" applyFill="1" applyBorder="1" applyAlignment="1">
      <alignment vertical="top"/>
    </xf>
    <xf numFmtId="49" fontId="31" fillId="0" borderId="50" xfId="0" applyNumberFormat="1" applyFont="1" applyFill="1" applyBorder="1" applyAlignment="1">
      <alignment vertical="top"/>
    </xf>
    <xf numFmtId="49" fontId="31" fillId="0" borderId="51" xfId="0" applyNumberFormat="1" applyFont="1" applyFill="1" applyBorder="1" applyAlignment="1">
      <alignment vertical="top"/>
    </xf>
    <xf numFmtId="49" fontId="32" fillId="0" borderId="21" xfId="0" applyNumberFormat="1" applyFont="1" applyFill="1" applyBorder="1" applyAlignment="1">
      <alignment vertical="top"/>
    </xf>
    <xf numFmtId="49" fontId="32" fillId="0" borderId="0" xfId="0" applyNumberFormat="1" applyFont="1" applyFill="1" applyAlignment="1">
      <alignment vertical="top"/>
    </xf>
    <xf numFmtId="49" fontId="32" fillId="0" borderId="22" xfId="0" applyNumberFormat="1" applyFont="1" applyFill="1" applyBorder="1" applyAlignment="1">
      <alignment vertical="top"/>
    </xf>
    <xf numFmtId="49" fontId="31" fillId="0" borderId="21" xfId="0" applyNumberFormat="1" applyFont="1" applyFill="1" applyBorder="1" applyAlignment="1">
      <alignment vertical="top"/>
    </xf>
    <xf numFmtId="49" fontId="31" fillId="0" borderId="0" xfId="0" applyNumberFormat="1" applyFont="1" applyFill="1" applyAlignment="1">
      <alignment vertical="top"/>
    </xf>
    <xf numFmtId="49" fontId="31" fillId="0" borderId="22" xfId="0" applyNumberFormat="1" applyFont="1" applyFill="1" applyBorder="1" applyAlignment="1">
      <alignment vertical="top"/>
    </xf>
    <xf numFmtId="49" fontId="31" fillId="0" borderId="45" xfId="0" applyNumberFormat="1" applyFont="1" applyFill="1" applyBorder="1" applyAlignment="1">
      <alignment horizontal="center" vertical="top"/>
    </xf>
    <xf numFmtId="49" fontId="31" fillId="0" borderId="50" xfId="0" applyNumberFormat="1" applyFont="1" applyFill="1" applyBorder="1" applyAlignment="1">
      <alignment horizontal="center" vertical="top"/>
    </xf>
    <xf numFmtId="49" fontId="31" fillId="0" borderId="51" xfId="0" applyNumberFormat="1" applyFont="1" applyFill="1" applyBorder="1" applyAlignment="1">
      <alignment horizontal="center" vertical="top"/>
    </xf>
    <xf numFmtId="49" fontId="31" fillId="0" borderId="23" xfId="0" applyNumberFormat="1" applyFont="1" applyFill="1" applyBorder="1" applyAlignment="1">
      <alignment horizontal="center" vertical="top"/>
    </xf>
    <xf numFmtId="49" fontId="31" fillId="0" borderId="24" xfId="0" applyNumberFormat="1" applyFont="1" applyFill="1" applyBorder="1" applyAlignment="1">
      <alignment horizontal="center" vertical="top"/>
    </xf>
    <xf numFmtId="49" fontId="31" fillId="0" borderId="25" xfId="0" applyNumberFormat="1" applyFont="1" applyFill="1" applyBorder="1" applyAlignment="1">
      <alignment horizontal="center" vertical="top"/>
    </xf>
    <xf numFmtId="164" fontId="42" fillId="0" borderId="21" xfId="55" applyFont="1" applyFill="1" applyBorder="1" applyAlignment="1">
      <alignment horizontal="center" vertical="top" wrapText="1"/>
    </xf>
    <xf numFmtId="164" fontId="42" fillId="0" borderId="22" xfId="55" applyFont="1" applyFill="1" applyBorder="1" applyAlignment="1">
      <alignment horizontal="center" vertical="top" wrapText="1"/>
    </xf>
    <xf numFmtId="164" fontId="41" fillId="0" borderId="23" xfId="55" applyFont="1" applyFill="1" applyBorder="1" applyAlignment="1">
      <alignment horizontal="center" vertical="top"/>
    </xf>
    <xf numFmtId="164" fontId="41" fillId="0" borderId="25" xfId="55" applyFont="1" applyFill="1" applyBorder="1" applyAlignment="1">
      <alignment horizontal="center" vertical="top"/>
    </xf>
    <xf numFmtId="164" fontId="41" fillId="0" borderId="45" xfId="55" applyFont="1" applyFill="1" applyBorder="1" applyAlignment="1">
      <alignment horizontal="center" vertical="top" wrapText="1"/>
    </xf>
    <xf numFmtId="164" fontId="41" fillId="0" borderId="51" xfId="55" applyFont="1" applyFill="1" applyBorder="1" applyAlignment="1">
      <alignment horizontal="center" vertical="top" wrapText="1"/>
    </xf>
    <xf numFmtId="43" fontId="23" fillId="0" borderId="0" xfId="0" applyNumberFormat="1" applyFont="1" applyFill="1" applyAlignment="1">
      <alignment wrapText="1"/>
    </xf>
  </cellXfs>
  <cellStyles count="171">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40% - Accent1 2" xfId="13"/>
    <cellStyle name="40% - Accent1 3" xfId="14"/>
    <cellStyle name="40% - Accent2 2" xfId="15"/>
    <cellStyle name="40% - Accent2 3" xfId="16"/>
    <cellStyle name="40% - Accent3 2" xfId="17"/>
    <cellStyle name="40% - Accent3 3" xfId="18"/>
    <cellStyle name="40% - Accent4 2" xfId="19"/>
    <cellStyle name="40% - Accent4 3" xfId="20"/>
    <cellStyle name="40% - Accent5 2" xfId="21"/>
    <cellStyle name="40% - Accent5 3" xfId="22"/>
    <cellStyle name="40% - Accent6 2" xfId="23"/>
    <cellStyle name="40% - Accent6 3" xfId="24"/>
    <cellStyle name="60% - Accent1 2" xfId="25"/>
    <cellStyle name="60% - Accent1 3" xfId="26"/>
    <cellStyle name="60% - Accent2 2" xfId="27"/>
    <cellStyle name="60% - Accent2 3" xfId="28"/>
    <cellStyle name="60% - Accent3 2" xfId="29"/>
    <cellStyle name="60% - Accent3 3" xfId="30"/>
    <cellStyle name="60% - Accent4 2" xfId="31"/>
    <cellStyle name="60% - Accent4 3" xfId="32"/>
    <cellStyle name="60% - Accent5 2" xfId="33"/>
    <cellStyle name="60% - Accent5 3" xfId="34"/>
    <cellStyle name="60% - Accent6 2" xfId="35"/>
    <cellStyle name="60% - Accent6 3" xfId="36"/>
    <cellStyle name="Accent1 2" xfId="37"/>
    <cellStyle name="Accent1 3" xfId="38"/>
    <cellStyle name="Accent2 2" xfId="39"/>
    <cellStyle name="Accent2 3" xfId="40"/>
    <cellStyle name="Accent3 2" xfId="41"/>
    <cellStyle name="Accent3 3" xfId="42"/>
    <cellStyle name="Accent4 2" xfId="43"/>
    <cellStyle name="Accent4 3" xfId="44"/>
    <cellStyle name="Accent5 2" xfId="45"/>
    <cellStyle name="Accent5 3" xfId="46"/>
    <cellStyle name="Accent6 2" xfId="47"/>
    <cellStyle name="Accent6 3" xfId="48"/>
    <cellStyle name="Bad 2" xfId="49"/>
    <cellStyle name="Bad 3" xfId="50"/>
    <cellStyle name="Calculation 2" xfId="51"/>
    <cellStyle name="Calculation 2 2" xfId="168"/>
    <cellStyle name="Calculation 3" xfId="52"/>
    <cellStyle name="Calculation 3 2" xfId="167"/>
    <cellStyle name="Check Cell 2" xfId="53"/>
    <cellStyle name="Check Cell 3" xfId="54"/>
    <cellStyle name="Comma" xfId="55" builtinId="3"/>
    <cellStyle name="Comma 2" xfId="56"/>
    <cellStyle name="Comma 2 2" xfId="57"/>
    <cellStyle name="Comma 2 2 2" xfId="58"/>
    <cellStyle name="Comma 2 2 2 2" xfId="130"/>
    <cellStyle name="Comma 2 2 2 3" xfId="155"/>
    <cellStyle name="Comma 2 3" xfId="59"/>
    <cellStyle name="Comma 2 3 2" xfId="131"/>
    <cellStyle name="Comma 2 4" xfId="60"/>
    <cellStyle name="Comma 2 4 2" xfId="132"/>
    <cellStyle name="Comma 2 4 3" xfId="156"/>
    <cellStyle name="Comma 2 5" xfId="61"/>
    <cellStyle name="Comma 2 5 2" xfId="133"/>
    <cellStyle name="Comma 2 6" xfId="62"/>
    <cellStyle name="Comma 2 7" xfId="63"/>
    <cellStyle name="Comma 2 7 2" xfId="134"/>
    <cellStyle name="Comma 2 7 3" xfId="157"/>
    <cellStyle name="Comma 21" xfId="144"/>
    <cellStyle name="Comma 21 2" xfId="169"/>
    <cellStyle name="Comma 3" xfId="64"/>
    <cellStyle name="Comma 3 2" xfId="65"/>
    <cellStyle name="Comma 3 2 2" xfId="135"/>
    <cellStyle name="Comma 3 3" xfId="66"/>
    <cellStyle name="Comma 3 3 2" xfId="136"/>
    <cellStyle name="Comma 3 4" xfId="67"/>
    <cellStyle name="Comma 3 4 2" xfId="159"/>
    <cellStyle name="Comma 3 5" xfId="158"/>
    <cellStyle name="Comma 4" xfId="68"/>
    <cellStyle name="Comma 4 2" xfId="69"/>
    <cellStyle name="Comma 4 2 2" xfId="138"/>
    <cellStyle name="Comma 4 2 3" xfId="161"/>
    <cellStyle name="Comma 4 3" xfId="137"/>
    <cellStyle name="Comma 4 4" xfId="160"/>
    <cellStyle name="Comma 5" xfId="70"/>
    <cellStyle name="Comma 5 2" xfId="71"/>
    <cellStyle name="Comma 5 2 2" xfId="139"/>
    <cellStyle name="Comma 5 2 3" xfId="163"/>
    <cellStyle name="Comma 5 3" xfId="162"/>
    <cellStyle name="Comma 6" xfId="72"/>
    <cellStyle name="Comma 7" xfId="73"/>
    <cellStyle name="Comma 7 2" xfId="140"/>
    <cellStyle name="Comma 7 3" xfId="164"/>
    <cellStyle name="Comma 8" xfId="74"/>
    <cellStyle name="Comma 8 2" xfId="141"/>
    <cellStyle name="Comma 8 3" xfId="165"/>
    <cellStyle name="Comma 9" xfId="75"/>
    <cellStyle name="Comma 9 2" xfId="142"/>
    <cellStyle name="Comma 9 3" xfId="166"/>
    <cellStyle name="Explanatory Text 2" xfId="76"/>
    <cellStyle name="Explanatory Text 3" xfId="77"/>
    <cellStyle name="Good 2" xfId="78"/>
    <cellStyle name="Good 3" xfId="79"/>
    <cellStyle name="Heading 1 2" xfId="80"/>
    <cellStyle name="Heading 1 3" xfId="81"/>
    <cellStyle name="Heading 2 2" xfId="82"/>
    <cellStyle name="Heading 2 3" xfId="83"/>
    <cellStyle name="Heading 3 2" xfId="84"/>
    <cellStyle name="Heading 3 3" xfId="85"/>
    <cellStyle name="Heading 4 2" xfId="86"/>
    <cellStyle name="Heading 4 3" xfId="87"/>
    <cellStyle name="Input 2" xfId="88"/>
    <cellStyle name="Input 2 2" xfId="154"/>
    <cellStyle name="Input 3" xfId="89"/>
    <cellStyle name="Input 3 2" xfId="153"/>
    <cellStyle name="Linked Cell 2" xfId="90"/>
    <cellStyle name="Linked Cell 3" xfId="91"/>
    <cellStyle name="Neutral 2" xfId="92"/>
    <cellStyle name="Neutral 3" xfId="93"/>
    <cellStyle name="Nor}al" xfId="145"/>
    <cellStyle name="Normal" xfId="0" builtinId="0"/>
    <cellStyle name="Normal 10" xfId="94"/>
    <cellStyle name="Normal 10 2" xfId="95"/>
    <cellStyle name="Normal 11" xfId="96"/>
    <cellStyle name="Normal 12" xfId="97"/>
    <cellStyle name="Normal 13" xfId="98"/>
    <cellStyle name="Normal 14" xfId="99"/>
    <cellStyle name="Normal 15" xfId="170"/>
    <cellStyle name="Normal 18" xfId="143"/>
    <cellStyle name="Normal 2" xfId="100"/>
    <cellStyle name="Normal 2 11" xfId="146"/>
    <cellStyle name="Normal 2 2" xfId="101"/>
    <cellStyle name="Normal 2 3" xfId="102"/>
    <cellStyle name="Normal 2 3 2" xfId="103"/>
    <cellStyle name="Normal 2 4" xfId="104"/>
    <cellStyle name="Normal 2_Xl0000004" xfId="105"/>
    <cellStyle name="Normal 3" xfId="106"/>
    <cellStyle name="Normal 4" xfId="107"/>
    <cellStyle name="Normal 5" xfId="108"/>
    <cellStyle name="Normal 6" xfId="109"/>
    <cellStyle name="Normal 6 2" xfId="110"/>
    <cellStyle name="Normal 7" xfId="111"/>
    <cellStyle name="Normal 8" xfId="112"/>
    <cellStyle name="Normal 9" xfId="113"/>
    <cellStyle name="Note 2" xfId="114"/>
    <cellStyle name="Note 2 2" xfId="152"/>
    <cellStyle name="Note 3" xfId="115"/>
    <cellStyle name="Note 3 2" xfId="151"/>
    <cellStyle name="Output 2" xfId="116"/>
    <cellStyle name="Output 2 2" xfId="150"/>
    <cellStyle name="Output 3" xfId="117"/>
    <cellStyle name="Output 3 2" xfId="149"/>
    <cellStyle name="Percent" xfId="118" builtinId="5"/>
    <cellStyle name="Percent 2" xfId="119"/>
    <cellStyle name="Percent 2 2" xfId="120"/>
    <cellStyle name="Percent 3" xfId="121"/>
    <cellStyle name="Percent 4" xfId="122"/>
    <cellStyle name="Percent 5" xfId="123"/>
    <cellStyle name="Title 2" xfId="124"/>
    <cellStyle name="Title 3" xfId="125"/>
    <cellStyle name="Total 2" xfId="126"/>
    <cellStyle name="Total 2 2" xfId="148"/>
    <cellStyle name="Total 3" xfId="127"/>
    <cellStyle name="Total 3 2" xfId="147"/>
    <cellStyle name="Warning Text 2" xfId="128"/>
    <cellStyle name="Warning Text 3" xfId="129"/>
  </cellStyles>
  <dxfs count="0"/>
  <tableStyles count="0" defaultTableStyle="TableStyleMedium9" defaultPivotStyle="PivotStyleLight16"/>
  <colors>
    <mruColors>
      <color rgb="FFCC99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Revised%20schedule%20V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SB%20plan\business%20plan%2003-04\smelterprof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BIJU%20NAIR\PATSPIN%20INDIA\NEW%20PROJECTS\TUF%20PROJECT%20%20IV\SBI%20CAPS\PIL_Financial%20Mode_August%2022%20for%20compan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DOCUME~1\mkb\LOCALS~1\Temp\notesE1EF34\NOTES%202007-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ER-PC\Desktop\Users\user\Downloads\RecoveredExternalLin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cost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pc\h\Users\user\AppData\Local\Microsoft\Windows\Temporary%20Internet%20Files\Content.Outlook\K9IW8WWS\DOCUME~1\divya\LOCALS~1\Temp\notesE1EF34\HilightApdec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john\Downloads\rich%20field%20draft%20before%20round%20off%20(new%20format)%2031.03.20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A%20John%20Moris%20&amp;%20Co.2017%20april\AJM%20STAFF\NEETHU\Rich%20Field\rich%20field%20final%20signed%20before%20round%20of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12"/>
      <sheetName val="Profitability flash-HO"/>
      <sheetName val="PLAN Vs ACTUALS RECO"/>
      <sheetName val="FLASH-F.WKG.SHEET"/>
      <sheetName val="FLASH -F.CON"/>
      <sheetName val="FLASH-F.ED"/>
      <sheetName val="F.VARIATION"/>
      <sheetName val="Var-Flash"/>
      <sheetName val="Var-YTD(ACT-ACT)"/>
      <sheetName val="Var-YTD (Plan-Act)"/>
      <sheetName val="Directors report"/>
      <sheetName val="Synopsis"/>
      <sheetName val="Revised-Financials"/>
      <sheetName val="Summary -1"/>
      <sheetName val="Summary -2"/>
      <sheetName val="Q3-Q3 summary"/>
      <sheetName val="Q3-Q2 summary "/>
      <sheetName val="9M-9M summary "/>
      <sheetName val="9MONTHS"/>
      <sheetName val="Q3-Q2"/>
      <sheetName val="Q3"/>
      <sheetName val="Plan -Actual -9 mts."/>
      <sheetName val="Var - Act (Q4- Q4)"/>
      <sheetName val="Var- Act (Q4-Q3)"/>
      <sheetName val="Var Q4(Plan-Act)"/>
      <sheetName val="HG-1"/>
      <sheetName val="Past Data"/>
      <sheetName val="B_S Plan11-12"/>
      <sheetName val="Plan 11-12"/>
      <sheetName val="covering letter"/>
      <sheetName val="Var-Month (Plan-Act)"/>
      <sheetName val="New Sch VI Format"/>
      <sheetName val="FINANCIALS"/>
      <sheetName val="Results"/>
      <sheetName val="Revised Sch VI - "/>
      <sheetName val="NOTE-2"/>
      <sheetName val="NOTE 3-4"/>
      <sheetName val="Note 5-6"/>
      <sheetName val="NOTE 7- 8"/>
      <sheetName val="NOTE 9-10"/>
      <sheetName val="NOTE 11"/>
      <sheetName val="NOTE-12 Asset-newschviformat"/>
      <sheetName val="NOTE 13- 14"/>
      <sheetName val="NOTE 15- 16"/>
      <sheetName val="NOTE 17- 18"/>
      <sheetName val="NOTE 19-20"/>
      <sheetName val="NOTE- 21- PL ACCOUNT"/>
      <sheetName val="NOTE-22-27 PL ACCOUNT"/>
      <sheetName val="NOTE 27 cont...."/>
      <sheetName val="working capital"/>
      <sheetName val="BZL Consol Link"/>
      <sheetName val="Electricity"/>
      <sheetName val="NOTE 27 - 29"/>
      <sheetName val="CF - FF newSCVI"/>
      <sheetName val="ASSET SCH"/>
      <sheetName val="Salient Features"/>
      <sheetName val="STOCK"/>
      <sheetName val="LINK"/>
      <sheetName val="TB"/>
      <sheetName val="CF - FF"/>
      <sheetName val="RATIOS"/>
      <sheetName val="I-O RATIO"/>
      <sheetName val="HG-3"/>
      <sheetName val="Notes"/>
      <sheetName val="OP. RPT"/>
      <sheetName val="BSABSTRACT "/>
      <sheetName val="COMPARISON - ADMN.COST "/>
      <sheetName val="SEGMENT"/>
      <sheetName val="BP MODEL"/>
      <sheetName val="SML.P(FIFO)"/>
      <sheetName val="CONV.COST"/>
      <sheetName val="Zn Dust"/>
      <sheetName val="ZAMAK"/>
      <sheetName val="calcineval"/>
      <sheetName val="STATUTORY DEDUCTINS"/>
      <sheetName val="Co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eltproft znm (Jan)"/>
      <sheetName val="basew (Jan)"/>
      <sheetName val="work(jan))"/>
      <sheetName val="smeltproft znm (dec)"/>
      <sheetName val="basew (dec)"/>
      <sheetName val="work(dec) "/>
      <sheetName val="smeltproft znm (nov)"/>
      <sheetName val="basew (nov)"/>
      <sheetName val="work(nov)"/>
      <sheetName val="smeltproft znm (oct)"/>
      <sheetName val="basew (oct)"/>
      <sheetName val="work(oct)"/>
      <sheetName val="smeltproft znm (sept) "/>
      <sheetName val="basew (sep) "/>
      <sheetName val="work(sep) "/>
      <sheetName val="smeltproft znm (aug) "/>
      <sheetName val="basew (aug)"/>
      <sheetName val="work(aug) "/>
      <sheetName val="smeltproft znm (july) (2)"/>
      <sheetName val="basew (july) (2)"/>
      <sheetName val="work(july) (2)"/>
      <sheetName val="smeltproft znm (2)"/>
      <sheetName val="basew (2)"/>
      <sheetName val="Sheet1 (2)"/>
      <sheetName val="smeltproft znm 93) (2)"/>
      <sheetName val="basew (94)"/>
      <sheetName val="work (94)"/>
      <sheetName val="FPNEWXLS (3)"/>
      <sheetName val="FPNEWXLS (4)"/>
      <sheetName val="wip (2)"/>
      <sheetName val="work(aug)"/>
      <sheetName val="smeltproft znm (july)"/>
      <sheetName val="basew (july)"/>
      <sheetName val="work(july)"/>
      <sheetName val="smeltproft znm"/>
      <sheetName val="basew"/>
      <sheetName val="Sheet1"/>
      <sheetName val="smeltproft znm 93)"/>
      <sheetName val="basew (93)"/>
      <sheetName val="work (93)"/>
      <sheetName val="FPNEWXLS"/>
      <sheetName val="FPNEWXLS (2)"/>
      <sheetName val="wi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ensitivity"/>
      <sheetName val="Assumptions"/>
      <sheetName val="Project Cost - Break up"/>
      <sheetName val="Capex_DD"/>
      <sheetName val="Debt - Rpmt. Proj"/>
      <sheetName val="PSTSPN-JW"/>
      <sheetName val="Debt-Existing"/>
      <sheetName val="Project Cost"/>
      <sheetName val="Depreciation - Proj"/>
      <sheetName val="Depreciation - Existing"/>
      <sheetName val="COP - Spinning 16800"/>
      <sheetName val="COP - Spinning 30000"/>
      <sheetName val="COP - Existing + Mod"/>
      <sheetName val="Windmill - 1"/>
      <sheetName val="Windmill - 2"/>
      <sheetName val="WC"/>
      <sheetName val="Tax"/>
      <sheetName val="P&amp;L_Consldtd"/>
      <sheetName val="CF - Consolidated"/>
      <sheetName val="BS_consolidated"/>
      <sheetName val="Report Sheet"/>
      <sheetName val="Internal Accrual Statement"/>
      <sheetName val="CF_Comparis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d"/>
      <sheetName val="HP loans notes disclosure"/>
      <sheetName val="cap goods"/>
      <sheetName val="SUBSCRIPTION"/>
      <sheetName val="goodsintransit"/>
      <sheetName val="stores and spares"/>
      <sheetName val="FC TRN"/>
      <sheetName val="TRAVEL"/>
      <sheetName val="alloy"/>
      <sheetName val="RM CON"/>
      <sheetName val="FOB"/>
      <sheetName val="AUDITOR"/>
      <sheetName val="DIR.REM"/>
      <sheetName val="ELEC2071"/>
      <sheetName val="CON.LB"/>
      <sheetName val="LC"/>
      <sheetName val="kseb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d"/>
      <sheetName val="capital ordersoutstanding"/>
      <sheetName val="capital goods"/>
      <sheetName val="material in transit"/>
      <sheetName val="Stores &amp; Spares"/>
      <sheetName val="Subscription"/>
      <sheetName val="Professional Service"/>
      <sheetName val="FC TRN"/>
      <sheetName val="foreign travel"/>
      <sheetName val="raw Material"/>
      <sheetName val="AUDITOR"/>
      <sheetName val="ROYapril-March 2009"/>
      <sheetName val="ELEC2071"/>
      <sheetName val="electrioldcase"/>
      <sheetName val="CON.LB"/>
      <sheetName val="LC"/>
      <sheetName val="ksebint "/>
      <sheetName val="allo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rialBal"/>
      <sheetName val="link"/>
      <sheetName val="Stock"/>
      <sheetName val="Cost Allocation"/>
      <sheetName val="ProcessCost Sheet"/>
      <sheetName val="aprmac"/>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LIGHT-2"/>
      <sheetName val="Highlight-3"/>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orL"/>
      <sheetName val="CashFlow"/>
      <sheetName val="SOCIE"/>
      <sheetName val="Ac policy"/>
      <sheetName val="bs Notes"/>
      <sheetName val="pl notes"/>
      <sheetName val="fa note"/>
      <sheetName val="Income Tax Fixed Asset"/>
      <sheetName val="Note21"/>
      <sheetName val="RBINotes"/>
      <sheetName val="Addl Disclosure schd III"/>
      <sheetName val="RATIO"/>
      <sheetName val="rati"/>
      <sheetName val="provision "/>
      <sheetName val="trial"/>
      <sheetName val="Sheet2"/>
      <sheetName val="Sheet3"/>
      <sheetName val="proviosion"/>
    </sheetNames>
    <sheetDataSet>
      <sheetData sheetId="0" refreshError="1"/>
      <sheetData sheetId="1" refreshError="1"/>
      <sheetData sheetId="2" refreshError="1">
        <row r="26">
          <cell r="B26" t="str">
            <v>Change in other current liabilites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orL"/>
      <sheetName val="CashFlow"/>
      <sheetName val="SOCIE"/>
      <sheetName val="Ac policy"/>
      <sheetName val="bs Notes"/>
      <sheetName val="pl notes"/>
      <sheetName val="fa note"/>
      <sheetName val="Income Tax Fixed Asset"/>
      <sheetName val="Note21"/>
      <sheetName val="RBINotes"/>
      <sheetName val="Addl Disclosure schd III"/>
      <sheetName val="RATIO"/>
      <sheetName val="trial"/>
    </sheetNames>
    <sheetDataSet>
      <sheetData sheetId="0"/>
      <sheetData sheetId="1"/>
      <sheetData sheetId="2"/>
      <sheetData sheetId="3"/>
      <sheetData sheetId="4"/>
      <sheetData sheetId="5">
        <row r="302">
          <cell r="L302">
            <v>0</v>
          </cell>
        </row>
        <row r="303">
          <cell r="L303">
            <v>0</v>
          </cell>
        </row>
        <row r="304">
          <cell r="L304">
            <v>0</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zoomScaleNormal="100" zoomScaleSheetLayoutView="100" workbookViewId="0">
      <selection activeCell="F8" sqref="F8"/>
    </sheetView>
  </sheetViews>
  <sheetFormatPr defaultColWidth="9.33203125" defaultRowHeight="13.8" x14ac:dyDescent="0.25"/>
  <cols>
    <col min="1" max="1" width="7.44140625" style="261" customWidth="1"/>
    <col min="2" max="2" width="51.5546875" style="261" customWidth="1"/>
    <col min="3" max="3" width="8.6640625" style="261" bestFit="1" customWidth="1"/>
    <col min="4" max="4" width="22.44140625" style="277" customWidth="1"/>
    <col min="5" max="5" width="21.109375" style="289" customWidth="1"/>
    <col min="6" max="6" width="16.33203125" style="261" bestFit="1" customWidth="1"/>
    <col min="7" max="7" width="13.6640625" style="261" customWidth="1"/>
    <col min="8" max="8" width="16.6640625" style="261" bestFit="1" customWidth="1"/>
    <col min="9" max="9" width="13.5546875" style="261" bestFit="1" customWidth="1"/>
    <col min="10" max="10" width="10.44140625" style="261" bestFit="1" customWidth="1"/>
    <col min="11" max="11" width="13.44140625" style="261" customWidth="1"/>
    <col min="12" max="16384" width="9.33203125" style="261"/>
  </cols>
  <sheetData>
    <row r="1" spans="1:8" ht="28.5" customHeight="1" x14ac:dyDescent="0.4">
      <c r="A1" s="712" t="s">
        <v>270</v>
      </c>
      <c r="B1" s="713"/>
      <c r="C1" s="713"/>
      <c r="D1" s="713"/>
      <c r="E1" s="714"/>
    </row>
    <row r="2" spans="1:8" ht="15.75" customHeight="1" x14ac:dyDescent="0.25">
      <c r="A2" s="715" t="s">
        <v>630</v>
      </c>
      <c r="B2" s="710"/>
      <c r="C2" s="710"/>
      <c r="D2" s="710"/>
      <c r="E2" s="711"/>
    </row>
    <row r="3" spans="1:8" x14ac:dyDescent="0.25">
      <c r="A3" s="716" t="s">
        <v>271</v>
      </c>
      <c r="B3" s="717"/>
      <c r="C3" s="717"/>
      <c r="D3" s="717"/>
      <c r="E3" s="718"/>
    </row>
    <row r="4" spans="1:8" ht="15.6" thickBot="1" x14ac:dyDescent="0.3">
      <c r="A4" s="719" t="s">
        <v>870</v>
      </c>
      <c r="B4" s="720"/>
      <c r="C4" s="720"/>
      <c r="D4" s="720"/>
      <c r="E4" s="721"/>
    </row>
    <row r="5" spans="1:8" ht="14.4" thickBot="1" x14ac:dyDescent="0.3">
      <c r="A5" s="263" t="s">
        <v>23</v>
      </c>
      <c r="B5" s="264" t="s">
        <v>0</v>
      </c>
      <c r="C5" s="264" t="s">
        <v>1</v>
      </c>
      <c r="D5" s="265" t="s">
        <v>872</v>
      </c>
      <c r="E5" s="266" t="s">
        <v>704</v>
      </c>
    </row>
    <row r="6" spans="1:8" x14ac:dyDescent="0.25">
      <c r="A6" s="267"/>
      <c r="B6" s="268" t="s">
        <v>2</v>
      </c>
      <c r="C6" s="269"/>
      <c r="D6" s="270"/>
      <c r="E6" s="271"/>
    </row>
    <row r="7" spans="1:8" x14ac:dyDescent="0.25">
      <c r="A7" s="272" t="s">
        <v>25</v>
      </c>
      <c r="B7" s="273" t="s">
        <v>3</v>
      </c>
      <c r="C7" s="274"/>
      <c r="D7" s="83"/>
      <c r="E7" s="84"/>
    </row>
    <row r="8" spans="1:8" x14ac:dyDescent="0.25">
      <c r="A8" s="275" t="s">
        <v>4</v>
      </c>
      <c r="B8" s="276" t="s">
        <v>5</v>
      </c>
      <c r="C8" s="274">
        <v>3</v>
      </c>
      <c r="D8" s="83">
        <f>'bs Notes'!L8</f>
        <v>17872815.68</v>
      </c>
      <c r="E8" s="82">
        <f>'bs Notes'!M8</f>
        <v>7238893.5599999996</v>
      </c>
      <c r="G8" s="277"/>
      <c r="H8" s="277"/>
    </row>
    <row r="9" spans="1:8" x14ac:dyDescent="0.25">
      <c r="A9" s="275" t="s">
        <v>6</v>
      </c>
      <c r="B9" s="276" t="s">
        <v>955</v>
      </c>
      <c r="C9" s="274" t="s">
        <v>546</v>
      </c>
      <c r="D9" s="83">
        <f>'bs Notes'!L14</f>
        <v>30340085</v>
      </c>
      <c r="E9" s="82">
        <f>'bs Notes'!M14</f>
        <v>0</v>
      </c>
      <c r="H9" s="277"/>
    </row>
    <row r="10" spans="1:8" x14ac:dyDescent="0.25">
      <c r="A10" s="275" t="s">
        <v>26</v>
      </c>
      <c r="B10" s="278" t="s">
        <v>8</v>
      </c>
      <c r="C10" s="274">
        <v>4</v>
      </c>
      <c r="D10" s="258">
        <f>'bs Notes'!L43</f>
        <v>283529968.20000005</v>
      </c>
      <c r="E10" s="85">
        <f>'bs Notes'!M43</f>
        <v>91315112.170000002</v>
      </c>
      <c r="G10" s="277"/>
      <c r="H10" s="277"/>
    </row>
    <row r="11" spans="1:8" x14ac:dyDescent="0.25">
      <c r="A11" s="275" t="s">
        <v>7</v>
      </c>
      <c r="B11" s="276" t="s">
        <v>1068</v>
      </c>
      <c r="C11" s="274">
        <v>6</v>
      </c>
      <c r="D11" s="83">
        <f>'bs Notes'!L82</f>
        <v>2134675.63</v>
      </c>
      <c r="E11" s="82">
        <f>'bs Notes'!M82</f>
        <v>0</v>
      </c>
      <c r="G11" s="277"/>
      <c r="H11" s="277"/>
    </row>
    <row r="12" spans="1:8" x14ac:dyDescent="0.25">
      <c r="A12" s="275"/>
      <c r="B12" s="276"/>
      <c r="C12" s="274"/>
      <c r="D12" s="83"/>
      <c r="E12" s="82"/>
      <c r="G12" s="277"/>
      <c r="H12" s="277"/>
    </row>
    <row r="13" spans="1:8" x14ac:dyDescent="0.25">
      <c r="A13" s="279" t="s">
        <v>10</v>
      </c>
      <c r="B13" s="273" t="s">
        <v>969</v>
      </c>
      <c r="C13" s="280"/>
      <c r="D13" s="81"/>
      <c r="E13" s="86"/>
      <c r="H13" s="277"/>
    </row>
    <row r="14" spans="1:8" x14ac:dyDescent="0.25">
      <c r="A14" s="275" t="s">
        <v>7</v>
      </c>
      <c r="B14" s="276" t="s">
        <v>205</v>
      </c>
      <c r="C14" s="274">
        <v>7</v>
      </c>
      <c r="D14" s="83">
        <f>'bs Notes'!L90</f>
        <v>8158611.2700000005</v>
      </c>
      <c r="E14" s="82">
        <f>'bs Notes'!M90</f>
        <v>1837556.06</v>
      </c>
      <c r="G14" s="277"/>
      <c r="H14" s="277"/>
    </row>
    <row r="15" spans="1:8" x14ac:dyDescent="0.25">
      <c r="A15" s="275" t="s">
        <v>4</v>
      </c>
      <c r="B15" s="276" t="s">
        <v>11</v>
      </c>
      <c r="C15" s="274">
        <v>9</v>
      </c>
      <c r="D15" s="83">
        <f>'fa note'!H18</f>
        <v>1685250.7921083337</v>
      </c>
      <c r="E15" s="82">
        <v>1180842.959275</v>
      </c>
      <c r="G15" s="277"/>
      <c r="H15" s="277"/>
    </row>
    <row r="16" spans="1:8" x14ac:dyDescent="0.25">
      <c r="A16" s="275" t="s">
        <v>7</v>
      </c>
      <c r="B16" s="276" t="s">
        <v>12</v>
      </c>
      <c r="C16" s="274">
        <v>10</v>
      </c>
      <c r="D16" s="83">
        <f>'bs Notes'!L121</f>
        <v>7241528.4000000004</v>
      </c>
      <c r="E16" s="82">
        <f>'bs Notes'!M121</f>
        <v>502500</v>
      </c>
      <c r="G16" s="277"/>
      <c r="H16" s="277"/>
    </row>
    <row r="17" spans="1:9" x14ac:dyDescent="0.25">
      <c r="A17" s="275"/>
      <c r="B17" s="276"/>
      <c r="C17" s="274"/>
      <c r="D17" s="83"/>
      <c r="E17" s="82"/>
      <c r="G17" s="277"/>
      <c r="H17" s="277"/>
    </row>
    <row r="18" spans="1:9" ht="14.4" thickBot="1" x14ac:dyDescent="0.3">
      <c r="A18" s="281"/>
      <c r="B18" s="282" t="s">
        <v>13</v>
      </c>
      <c r="C18" s="274"/>
      <c r="D18" s="89">
        <f>SUM(D6:D16)</f>
        <v>350962934.97210836</v>
      </c>
      <c r="E18" s="90">
        <f>SUM(E6:E16)</f>
        <v>102074904.74927501</v>
      </c>
      <c r="H18" s="277"/>
    </row>
    <row r="19" spans="1:9" x14ac:dyDescent="0.25">
      <c r="A19" s="281"/>
      <c r="B19" s="282"/>
      <c r="C19" s="274"/>
      <c r="D19" s="87"/>
      <c r="E19" s="88"/>
      <c r="H19" s="277"/>
    </row>
    <row r="20" spans="1:9" x14ac:dyDescent="0.25">
      <c r="A20" s="283"/>
      <c r="B20" s="273" t="s">
        <v>970</v>
      </c>
      <c r="C20" s="274"/>
      <c r="D20" s="83"/>
      <c r="E20" s="82"/>
      <c r="H20" s="277"/>
    </row>
    <row r="21" spans="1:9" x14ac:dyDescent="0.25">
      <c r="A21" s="283"/>
      <c r="B21" s="273"/>
      <c r="C21" s="274"/>
      <c r="D21" s="83"/>
      <c r="E21" s="82"/>
      <c r="H21" s="277"/>
    </row>
    <row r="22" spans="1:9" x14ac:dyDescent="0.25">
      <c r="A22" s="284"/>
      <c r="B22" s="285" t="s">
        <v>14</v>
      </c>
      <c r="C22" s="274"/>
      <c r="D22" s="83"/>
      <c r="E22" s="82"/>
      <c r="H22" s="277"/>
    </row>
    <row r="23" spans="1:9" x14ac:dyDescent="0.25">
      <c r="A23" s="284"/>
      <c r="B23" s="285"/>
      <c r="C23" s="274"/>
      <c r="D23" s="83"/>
      <c r="E23" s="82"/>
      <c r="H23" s="277"/>
    </row>
    <row r="24" spans="1:9" x14ac:dyDescent="0.25">
      <c r="A24" s="286" t="s">
        <v>24</v>
      </c>
      <c r="B24" s="273" t="s">
        <v>15</v>
      </c>
      <c r="C24" s="274"/>
      <c r="D24" s="83"/>
      <c r="E24" s="82"/>
      <c r="H24" s="277"/>
    </row>
    <row r="25" spans="1:9" x14ac:dyDescent="0.25">
      <c r="A25" s="287" t="s">
        <v>4</v>
      </c>
      <c r="B25" s="288" t="s">
        <v>915</v>
      </c>
      <c r="C25" s="274">
        <v>11</v>
      </c>
      <c r="D25" s="83">
        <f>+'bs Notes'!L134</f>
        <v>213553000</v>
      </c>
      <c r="E25" s="82">
        <f>+'bs Notes'!M126</f>
        <v>1850000</v>
      </c>
      <c r="F25" s="289"/>
      <c r="G25" s="277"/>
      <c r="H25" s="277"/>
    </row>
    <row r="26" spans="1:9" x14ac:dyDescent="0.25">
      <c r="A26" s="287" t="s">
        <v>6</v>
      </c>
      <c r="B26" s="288" t="s">
        <v>916</v>
      </c>
      <c r="C26" s="274">
        <v>12</v>
      </c>
      <c r="D26" s="83">
        <f>+'bs Notes'!L143</f>
        <v>44570000</v>
      </c>
      <c r="E26" s="82">
        <f>+'bs Notes'!M143</f>
        <v>3300000</v>
      </c>
      <c r="F26" s="289"/>
      <c r="G26" s="277"/>
      <c r="H26" s="277"/>
      <c r="I26" s="277"/>
    </row>
    <row r="27" spans="1:9" x14ac:dyDescent="0.25">
      <c r="A27" s="287" t="s">
        <v>26</v>
      </c>
      <c r="B27" s="288" t="s">
        <v>772</v>
      </c>
      <c r="C27" s="274">
        <v>13</v>
      </c>
      <c r="D27" s="83">
        <f>+'bs Notes'!L171</f>
        <v>27470</v>
      </c>
      <c r="E27" s="82">
        <f>+'bs Notes'!M169</f>
        <v>6900000</v>
      </c>
      <c r="F27" s="277"/>
      <c r="G27" s="277"/>
      <c r="H27" s="277"/>
    </row>
    <row r="28" spans="1:9" x14ac:dyDescent="0.25">
      <c r="A28" s="287" t="s">
        <v>7</v>
      </c>
      <c r="B28" s="290" t="s">
        <v>763</v>
      </c>
      <c r="C28" s="274"/>
      <c r="D28" s="83">
        <f>trial!C150</f>
        <v>0</v>
      </c>
      <c r="E28" s="82">
        <v>143490</v>
      </c>
      <c r="G28" s="277"/>
      <c r="H28" s="277"/>
    </row>
    <row r="29" spans="1:9" x14ac:dyDescent="0.25">
      <c r="A29" s="287" t="s">
        <v>844</v>
      </c>
      <c r="B29" s="290" t="s">
        <v>843</v>
      </c>
      <c r="C29" s="274"/>
      <c r="D29" s="83">
        <f>trial!C161+trial!C162</f>
        <v>4142432</v>
      </c>
      <c r="E29" s="82">
        <v>0</v>
      </c>
      <c r="G29" s="277"/>
      <c r="H29" s="277"/>
    </row>
    <row r="30" spans="1:9" x14ac:dyDescent="0.25">
      <c r="A30" s="291"/>
      <c r="B30" s="290"/>
      <c r="C30" s="274"/>
      <c r="D30" s="83"/>
      <c r="E30" s="82"/>
      <c r="G30" s="277"/>
      <c r="H30" s="277"/>
    </row>
    <row r="31" spans="1:9" x14ac:dyDescent="0.25">
      <c r="A31" s="292" t="s">
        <v>27</v>
      </c>
      <c r="B31" s="273" t="s">
        <v>971</v>
      </c>
      <c r="C31" s="274"/>
      <c r="D31" s="83"/>
      <c r="E31" s="82"/>
      <c r="H31" s="277"/>
    </row>
    <row r="32" spans="1:9" x14ac:dyDescent="0.25">
      <c r="A32" s="287" t="s">
        <v>4</v>
      </c>
      <c r="B32" s="276" t="s">
        <v>16</v>
      </c>
      <c r="C32" s="274" t="s">
        <v>972</v>
      </c>
      <c r="D32" s="83">
        <f>+'bs Notes'!L177</f>
        <v>935888.28300000017</v>
      </c>
      <c r="E32" s="83">
        <f>+'bs Notes'!M177</f>
        <v>220578</v>
      </c>
      <c r="G32" s="277"/>
      <c r="H32" s="277"/>
    </row>
    <row r="33" spans="1:9" x14ac:dyDescent="0.25">
      <c r="A33" s="287" t="s">
        <v>6</v>
      </c>
      <c r="B33" s="276" t="s">
        <v>17</v>
      </c>
      <c r="C33" s="274">
        <v>8</v>
      </c>
      <c r="D33" s="83">
        <f>-'bs Notes'!N100</f>
        <v>445689.26703789504</v>
      </c>
      <c r="E33" s="82">
        <f>-'bs Notes'!J100</f>
        <v>647674.67486662499</v>
      </c>
      <c r="G33" s="277"/>
      <c r="H33" s="277"/>
    </row>
    <row r="34" spans="1:9" x14ac:dyDescent="0.25">
      <c r="A34" s="287" t="s">
        <v>26</v>
      </c>
      <c r="B34" s="276" t="s">
        <v>18</v>
      </c>
      <c r="C34" s="274" t="s">
        <v>973</v>
      </c>
      <c r="D34" s="83">
        <f>+'bs Notes'!L195</f>
        <v>3105718.1700000023</v>
      </c>
      <c r="E34" s="83">
        <f>+'bs Notes'!M195</f>
        <v>3084738</v>
      </c>
      <c r="G34" s="277"/>
      <c r="H34" s="277"/>
    </row>
    <row r="35" spans="1:9" x14ac:dyDescent="0.25">
      <c r="A35" s="287"/>
      <c r="B35" s="276"/>
      <c r="C35" s="274"/>
      <c r="D35" s="83"/>
      <c r="E35" s="82"/>
      <c r="G35" s="277"/>
      <c r="H35" s="277"/>
    </row>
    <row r="36" spans="1:9" x14ac:dyDescent="0.25">
      <c r="A36" s="283"/>
      <c r="B36" s="273" t="s">
        <v>19</v>
      </c>
      <c r="C36" s="274"/>
      <c r="D36" s="83"/>
      <c r="E36" s="82"/>
      <c r="G36" s="277"/>
      <c r="H36" s="277"/>
    </row>
    <row r="37" spans="1:9" x14ac:dyDescent="0.25">
      <c r="A37" s="287" t="s">
        <v>764</v>
      </c>
      <c r="B37" s="293" t="s">
        <v>20</v>
      </c>
      <c r="C37" s="274">
        <v>15</v>
      </c>
      <c r="D37" s="83">
        <f>'bs Notes'!L204</f>
        <v>75002000</v>
      </c>
      <c r="E37" s="83">
        <f>'bs Notes'!M204</f>
        <v>37501000</v>
      </c>
      <c r="G37" s="277"/>
      <c r="H37" s="277"/>
    </row>
    <row r="38" spans="1:9" x14ac:dyDescent="0.25">
      <c r="A38" s="287" t="s">
        <v>765</v>
      </c>
      <c r="B38" s="293" t="s">
        <v>21</v>
      </c>
      <c r="C38" s="274">
        <v>16</v>
      </c>
      <c r="D38" s="83">
        <f>'bs Notes'!L236</f>
        <v>9180737.2520704437</v>
      </c>
      <c r="E38" s="83">
        <f>'bs Notes'!M236</f>
        <v>48427424.51440838</v>
      </c>
      <c r="G38" s="277"/>
      <c r="H38" s="277"/>
    </row>
    <row r="39" spans="1:9" x14ac:dyDescent="0.25">
      <c r="A39" s="287"/>
      <c r="B39" s="276"/>
      <c r="C39" s="274"/>
      <c r="D39" s="83"/>
      <c r="E39" s="82"/>
      <c r="G39" s="277"/>
      <c r="H39" s="277"/>
    </row>
    <row r="40" spans="1:9" ht="14.4" thickBot="1" x14ac:dyDescent="0.3">
      <c r="A40" s="281"/>
      <c r="B40" s="282" t="s">
        <v>22</v>
      </c>
      <c r="C40" s="274"/>
      <c r="D40" s="89">
        <f>SUM(D20:D39)</f>
        <v>350962934.97210836</v>
      </c>
      <c r="E40" s="90">
        <f>SUM(E20:E39)</f>
        <v>102074905.189275</v>
      </c>
      <c r="F40" s="289">
        <f>D18-D40</f>
        <v>0</v>
      </c>
      <c r="G40" s="277"/>
      <c r="H40" s="277"/>
      <c r="I40" s="289"/>
    </row>
    <row r="41" spans="1:9" x14ac:dyDescent="0.25">
      <c r="A41" s="281"/>
      <c r="B41" s="282"/>
      <c r="C41" s="274"/>
      <c r="D41" s="91"/>
      <c r="E41" s="92"/>
      <c r="F41" s="289"/>
      <c r="G41" s="277"/>
      <c r="H41" s="277"/>
      <c r="I41" s="289"/>
    </row>
    <row r="42" spans="1:9" ht="42" thickBot="1" x14ac:dyDescent="0.3">
      <c r="A42" s="294"/>
      <c r="B42" s="295" t="s">
        <v>28</v>
      </c>
      <c r="C42" s="296" t="s">
        <v>1059</v>
      </c>
      <c r="D42" s="297"/>
      <c r="E42" s="298"/>
    </row>
    <row r="43" spans="1:9" x14ac:dyDescent="0.25">
      <c r="A43" s="299"/>
      <c r="B43" s="300"/>
      <c r="C43" s="300"/>
      <c r="D43" s="301"/>
      <c r="E43" s="302"/>
    </row>
    <row r="44" spans="1:9" x14ac:dyDescent="0.25">
      <c r="A44" s="299"/>
      <c r="B44" s="300"/>
      <c r="C44" s="300"/>
      <c r="D44" s="301"/>
      <c r="E44" s="302"/>
    </row>
    <row r="45" spans="1:9" ht="15" x14ac:dyDescent="0.25">
      <c r="A45" s="303" t="s">
        <v>968</v>
      </c>
      <c r="B45" s="300"/>
      <c r="C45" s="300"/>
      <c r="D45" s="301"/>
      <c r="E45" s="302"/>
    </row>
    <row r="46" spans="1:9" ht="15" x14ac:dyDescent="0.25">
      <c r="A46" s="303" t="s">
        <v>957</v>
      </c>
      <c r="B46" s="300"/>
      <c r="C46" s="708" t="s">
        <v>267</v>
      </c>
      <c r="D46" s="708"/>
      <c r="E46" s="709"/>
      <c r="H46" s="41"/>
    </row>
    <row r="47" spans="1:9" ht="15" x14ac:dyDescent="0.25">
      <c r="A47" s="303" t="s">
        <v>958</v>
      </c>
      <c r="B47" s="300"/>
      <c r="C47" s="710" t="s">
        <v>455</v>
      </c>
      <c r="D47" s="710"/>
      <c r="E47" s="711"/>
      <c r="H47" s="41"/>
    </row>
    <row r="48" spans="1:9" ht="15" x14ac:dyDescent="0.25">
      <c r="A48" s="303"/>
      <c r="B48" s="300"/>
      <c r="C48" s="300"/>
      <c r="D48" s="301"/>
      <c r="E48" s="302"/>
      <c r="H48" s="304"/>
    </row>
    <row r="49" spans="1:8" x14ac:dyDescent="0.25">
      <c r="A49" s="299"/>
      <c r="B49" s="300"/>
      <c r="C49" s="300"/>
      <c r="D49" s="301"/>
      <c r="E49" s="302"/>
      <c r="H49" s="304"/>
    </row>
    <row r="50" spans="1:8" x14ac:dyDescent="0.25">
      <c r="A50" s="299"/>
      <c r="B50" s="301"/>
      <c r="C50" s="300"/>
      <c r="D50" s="301"/>
      <c r="E50" s="302"/>
    </row>
    <row r="51" spans="1:8" ht="15" x14ac:dyDescent="0.25">
      <c r="A51" s="305" t="s">
        <v>959</v>
      </c>
      <c r="B51" s="300"/>
      <c r="C51" s="306" t="s">
        <v>547</v>
      </c>
      <c r="D51" s="301"/>
      <c r="E51" s="307" t="s">
        <v>549</v>
      </c>
    </row>
    <row r="52" spans="1:8" ht="15" x14ac:dyDescent="0.25">
      <c r="A52" s="303" t="s">
        <v>960</v>
      </c>
      <c r="B52" s="300"/>
      <c r="C52" s="300" t="s">
        <v>265</v>
      </c>
      <c r="D52" s="301"/>
      <c r="E52" s="308" t="s">
        <v>268</v>
      </c>
    </row>
    <row r="53" spans="1:8" ht="15" x14ac:dyDescent="0.25">
      <c r="A53" s="303" t="s">
        <v>961</v>
      </c>
      <c r="B53" s="300"/>
      <c r="C53" s="306" t="s">
        <v>548</v>
      </c>
      <c r="D53" s="301"/>
      <c r="E53" s="307" t="s">
        <v>550</v>
      </c>
    </row>
    <row r="54" spans="1:8" ht="15" x14ac:dyDescent="0.25">
      <c r="A54" s="303" t="s">
        <v>1057</v>
      </c>
      <c r="B54" s="300"/>
      <c r="C54" s="300"/>
      <c r="D54" s="301"/>
      <c r="E54" s="302"/>
    </row>
    <row r="55" spans="1:8" ht="15" x14ac:dyDescent="0.25">
      <c r="A55" s="303" t="s">
        <v>962</v>
      </c>
      <c r="B55" s="300"/>
      <c r="C55" s="300"/>
      <c r="D55" s="301"/>
      <c r="E55" s="302"/>
    </row>
    <row r="56" spans="1:8" ht="15" x14ac:dyDescent="0.25">
      <c r="A56" s="303" t="s">
        <v>963</v>
      </c>
      <c r="B56" s="300"/>
      <c r="C56" s="300"/>
      <c r="D56" s="301"/>
      <c r="E56" s="302"/>
    </row>
    <row r="57" spans="1:8" x14ac:dyDescent="0.25">
      <c r="A57" s="299"/>
      <c r="B57" s="300"/>
      <c r="C57" s="306" t="s">
        <v>551</v>
      </c>
      <c r="D57" s="301"/>
      <c r="E57" s="307" t="s">
        <v>964</v>
      </c>
    </row>
    <row r="58" spans="1:8" x14ac:dyDescent="0.25">
      <c r="A58" s="299"/>
      <c r="B58" s="309"/>
      <c r="C58" s="300" t="s">
        <v>269</v>
      </c>
      <c r="D58" s="301"/>
      <c r="E58" s="308" t="s">
        <v>266</v>
      </c>
    </row>
    <row r="59" spans="1:8" x14ac:dyDescent="0.25">
      <c r="A59" s="299"/>
      <c r="B59" s="300"/>
      <c r="C59" s="300"/>
      <c r="D59" s="301"/>
      <c r="E59" s="302"/>
    </row>
    <row r="60" spans="1:8" x14ac:dyDescent="0.25">
      <c r="A60" s="310"/>
      <c r="B60" s="311"/>
      <c r="C60" s="300"/>
      <c r="D60" s="301"/>
      <c r="E60" s="302"/>
    </row>
    <row r="61" spans="1:8" ht="14.4" thickBot="1" x14ac:dyDescent="0.3">
      <c r="A61" s="312"/>
      <c r="B61" s="313"/>
      <c r="C61" s="313"/>
      <c r="D61" s="314"/>
      <c r="E61" s="315"/>
    </row>
  </sheetData>
  <mergeCells count="6">
    <mergeCell ref="C46:E46"/>
    <mergeCell ref="C47:E47"/>
    <mergeCell ref="A1:E1"/>
    <mergeCell ref="A2:E2"/>
    <mergeCell ref="A3:E3"/>
    <mergeCell ref="A4:E4"/>
  </mergeCells>
  <printOptions horizontalCentered="1"/>
  <pageMargins left="0.19685039370078741" right="0.19685039370078741" top="0.19685039370078741" bottom="0.19685039370078741" header="0" footer="0"/>
  <pageSetup paperSize="9" scale="79" orientation="portrait" horizont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K6" sqref="K6"/>
    </sheetView>
  </sheetViews>
  <sheetFormatPr defaultColWidth="9.33203125" defaultRowHeight="13.2" x14ac:dyDescent="0.25"/>
  <cols>
    <col min="1" max="1" width="27.44140625" style="560" bestFit="1" customWidth="1"/>
    <col min="2" max="2" width="15.5546875" style="560" bestFit="1" customWidth="1"/>
    <col min="3" max="3" width="21.5546875" style="560" bestFit="1" customWidth="1"/>
    <col min="4" max="4" width="13.109375" style="583" customWidth="1"/>
    <col min="5" max="5" width="11.44140625" style="583" customWidth="1"/>
    <col min="6" max="6" width="12.33203125" style="583" customWidth="1"/>
    <col min="7" max="7" width="26.44140625" style="560" customWidth="1"/>
    <col min="8" max="8" width="12.5546875" style="560" bestFit="1" customWidth="1"/>
    <col min="9" max="256" width="9.33203125" style="560"/>
    <col min="257" max="257" width="27.44140625" style="560" bestFit="1" customWidth="1"/>
    <col min="258" max="258" width="15.5546875" style="560" bestFit="1" customWidth="1"/>
    <col min="259" max="259" width="21.5546875" style="560" bestFit="1" customWidth="1"/>
    <col min="260" max="260" width="10.44140625" style="560" customWidth="1"/>
    <col min="261" max="261" width="11.44140625" style="560" customWidth="1"/>
    <col min="262" max="262" width="12.33203125" style="560" customWidth="1"/>
    <col min="263" max="263" width="26.44140625" style="560" customWidth="1"/>
    <col min="264" max="264" width="12.5546875" style="560" bestFit="1" customWidth="1"/>
    <col min="265" max="512" width="9.33203125" style="560"/>
    <col min="513" max="513" width="27.44140625" style="560" bestFit="1" customWidth="1"/>
    <col min="514" max="514" width="15.5546875" style="560" bestFit="1" customWidth="1"/>
    <col min="515" max="515" width="21.5546875" style="560" bestFit="1" customWidth="1"/>
    <col min="516" max="516" width="10.44140625" style="560" customWidth="1"/>
    <col min="517" max="517" width="11.44140625" style="560" customWidth="1"/>
    <col min="518" max="518" width="12.33203125" style="560" customWidth="1"/>
    <col min="519" max="519" width="26.44140625" style="560" customWidth="1"/>
    <col min="520" max="520" width="12.5546875" style="560" bestFit="1" customWidth="1"/>
    <col min="521" max="768" width="9.33203125" style="560"/>
    <col min="769" max="769" width="27.44140625" style="560" bestFit="1" customWidth="1"/>
    <col min="770" max="770" width="15.5546875" style="560" bestFit="1" customWidth="1"/>
    <col min="771" max="771" width="21.5546875" style="560" bestFit="1" customWidth="1"/>
    <col min="772" max="772" width="10.44140625" style="560" customWidth="1"/>
    <col min="773" max="773" width="11.44140625" style="560" customWidth="1"/>
    <col min="774" max="774" width="12.33203125" style="560" customWidth="1"/>
    <col min="775" max="775" width="26.44140625" style="560" customWidth="1"/>
    <col min="776" max="776" width="12.5546875" style="560" bestFit="1" customWidth="1"/>
    <col min="777" max="1024" width="9.33203125" style="560"/>
    <col min="1025" max="1025" width="27.44140625" style="560" bestFit="1" customWidth="1"/>
    <col min="1026" max="1026" width="15.5546875" style="560" bestFit="1" customWidth="1"/>
    <col min="1027" max="1027" width="21.5546875" style="560" bestFit="1" customWidth="1"/>
    <col min="1028" max="1028" width="10.44140625" style="560" customWidth="1"/>
    <col min="1029" max="1029" width="11.44140625" style="560" customWidth="1"/>
    <col min="1030" max="1030" width="12.33203125" style="560" customWidth="1"/>
    <col min="1031" max="1031" width="26.44140625" style="560" customWidth="1"/>
    <col min="1032" max="1032" width="12.5546875" style="560" bestFit="1" customWidth="1"/>
    <col min="1033" max="1280" width="9.33203125" style="560"/>
    <col min="1281" max="1281" width="27.44140625" style="560" bestFit="1" customWidth="1"/>
    <col min="1282" max="1282" width="15.5546875" style="560" bestFit="1" customWidth="1"/>
    <col min="1283" max="1283" width="21.5546875" style="560" bestFit="1" customWidth="1"/>
    <col min="1284" max="1284" width="10.44140625" style="560" customWidth="1"/>
    <col min="1285" max="1285" width="11.44140625" style="560" customWidth="1"/>
    <col min="1286" max="1286" width="12.33203125" style="560" customWidth="1"/>
    <col min="1287" max="1287" width="26.44140625" style="560" customWidth="1"/>
    <col min="1288" max="1288" width="12.5546875" style="560" bestFit="1" customWidth="1"/>
    <col min="1289" max="1536" width="9.33203125" style="560"/>
    <col min="1537" max="1537" width="27.44140625" style="560" bestFit="1" customWidth="1"/>
    <col min="1538" max="1538" width="15.5546875" style="560" bestFit="1" customWidth="1"/>
    <col min="1539" max="1539" width="21.5546875" style="560" bestFit="1" customWidth="1"/>
    <col min="1540" max="1540" width="10.44140625" style="560" customWidth="1"/>
    <col min="1541" max="1541" width="11.44140625" style="560" customWidth="1"/>
    <col min="1542" max="1542" width="12.33203125" style="560" customWidth="1"/>
    <col min="1543" max="1543" width="26.44140625" style="560" customWidth="1"/>
    <col min="1544" max="1544" width="12.5546875" style="560" bestFit="1" customWidth="1"/>
    <col min="1545" max="1792" width="9.33203125" style="560"/>
    <col min="1793" max="1793" width="27.44140625" style="560" bestFit="1" customWidth="1"/>
    <col min="1794" max="1794" width="15.5546875" style="560" bestFit="1" customWidth="1"/>
    <col min="1795" max="1795" width="21.5546875" style="560" bestFit="1" customWidth="1"/>
    <col min="1796" max="1796" width="10.44140625" style="560" customWidth="1"/>
    <col min="1797" max="1797" width="11.44140625" style="560" customWidth="1"/>
    <col min="1798" max="1798" width="12.33203125" style="560" customWidth="1"/>
    <col min="1799" max="1799" width="26.44140625" style="560" customWidth="1"/>
    <col min="1800" max="1800" width="12.5546875" style="560" bestFit="1" customWidth="1"/>
    <col min="1801" max="2048" width="9.33203125" style="560"/>
    <col min="2049" max="2049" width="27.44140625" style="560" bestFit="1" customWidth="1"/>
    <col min="2050" max="2050" width="15.5546875" style="560" bestFit="1" customWidth="1"/>
    <col min="2051" max="2051" width="21.5546875" style="560" bestFit="1" customWidth="1"/>
    <col min="2052" max="2052" width="10.44140625" style="560" customWidth="1"/>
    <col min="2053" max="2053" width="11.44140625" style="560" customWidth="1"/>
    <col min="2054" max="2054" width="12.33203125" style="560" customWidth="1"/>
    <col min="2055" max="2055" width="26.44140625" style="560" customWidth="1"/>
    <col min="2056" max="2056" width="12.5546875" style="560" bestFit="1" customWidth="1"/>
    <col min="2057" max="2304" width="9.33203125" style="560"/>
    <col min="2305" max="2305" width="27.44140625" style="560" bestFit="1" customWidth="1"/>
    <col min="2306" max="2306" width="15.5546875" style="560" bestFit="1" customWidth="1"/>
    <col min="2307" max="2307" width="21.5546875" style="560" bestFit="1" customWidth="1"/>
    <col min="2308" max="2308" width="10.44140625" style="560" customWidth="1"/>
    <col min="2309" max="2309" width="11.44140625" style="560" customWidth="1"/>
    <col min="2310" max="2310" width="12.33203125" style="560" customWidth="1"/>
    <col min="2311" max="2311" width="26.44140625" style="560" customWidth="1"/>
    <col min="2312" max="2312" width="12.5546875" style="560" bestFit="1" customWidth="1"/>
    <col min="2313" max="2560" width="9.33203125" style="560"/>
    <col min="2561" max="2561" width="27.44140625" style="560" bestFit="1" customWidth="1"/>
    <col min="2562" max="2562" width="15.5546875" style="560" bestFit="1" customWidth="1"/>
    <col min="2563" max="2563" width="21.5546875" style="560" bestFit="1" customWidth="1"/>
    <col min="2564" max="2564" width="10.44140625" style="560" customWidth="1"/>
    <col min="2565" max="2565" width="11.44140625" style="560" customWidth="1"/>
    <col min="2566" max="2566" width="12.33203125" style="560" customWidth="1"/>
    <col min="2567" max="2567" width="26.44140625" style="560" customWidth="1"/>
    <col min="2568" max="2568" width="12.5546875" style="560" bestFit="1" customWidth="1"/>
    <col min="2569" max="2816" width="9.33203125" style="560"/>
    <col min="2817" max="2817" width="27.44140625" style="560" bestFit="1" customWidth="1"/>
    <col min="2818" max="2818" width="15.5546875" style="560" bestFit="1" customWidth="1"/>
    <col min="2819" max="2819" width="21.5546875" style="560" bestFit="1" customWidth="1"/>
    <col min="2820" max="2820" width="10.44140625" style="560" customWidth="1"/>
    <col min="2821" max="2821" width="11.44140625" style="560" customWidth="1"/>
    <col min="2822" max="2822" width="12.33203125" style="560" customWidth="1"/>
    <col min="2823" max="2823" width="26.44140625" style="560" customWidth="1"/>
    <col min="2824" max="2824" width="12.5546875" style="560" bestFit="1" customWidth="1"/>
    <col min="2825" max="3072" width="9.33203125" style="560"/>
    <col min="3073" max="3073" width="27.44140625" style="560" bestFit="1" customWidth="1"/>
    <col min="3074" max="3074" width="15.5546875" style="560" bestFit="1" customWidth="1"/>
    <col min="3075" max="3075" width="21.5546875" style="560" bestFit="1" customWidth="1"/>
    <col min="3076" max="3076" width="10.44140625" style="560" customWidth="1"/>
    <col min="3077" max="3077" width="11.44140625" style="560" customWidth="1"/>
    <col min="3078" max="3078" width="12.33203125" style="560" customWidth="1"/>
    <col min="3079" max="3079" width="26.44140625" style="560" customWidth="1"/>
    <col min="3080" max="3080" width="12.5546875" style="560" bestFit="1" customWidth="1"/>
    <col min="3081" max="3328" width="9.33203125" style="560"/>
    <col min="3329" max="3329" width="27.44140625" style="560" bestFit="1" customWidth="1"/>
    <col min="3330" max="3330" width="15.5546875" style="560" bestFit="1" customWidth="1"/>
    <col min="3331" max="3331" width="21.5546875" style="560" bestFit="1" customWidth="1"/>
    <col min="3332" max="3332" width="10.44140625" style="560" customWidth="1"/>
    <col min="3333" max="3333" width="11.44140625" style="560" customWidth="1"/>
    <col min="3334" max="3334" width="12.33203125" style="560" customWidth="1"/>
    <col min="3335" max="3335" width="26.44140625" style="560" customWidth="1"/>
    <col min="3336" max="3336" width="12.5546875" style="560" bestFit="1" customWidth="1"/>
    <col min="3337" max="3584" width="9.33203125" style="560"/>
    <col min="3585" max="3585" width="27.44140625" style="560" bestFit="1" customWidth="1"/>
    <col min="3586" max="3586" width="15.5546875" style="560" bestFit="1" customWidth="1"/>
    <col min="3587" max="3587" width="21.5546875" style="560" bestFit="1" customWidth="1"/>
    <col min="3588" max="3588" width="10.44140625" style="560" customWidth="1"/>
    <col min="3589" max="3589" width="11.44140625" style="560" customWidth="1"/>
    <col min="3590" max="3590" width="12.33203125" style="560" customWidth="1"/>
    <col min="3591" max="3591" width="26.44140625" style="560" customWidth="1"/>
    <col min="3592" max="3592" width="12.5546875" style="560" bestFit="1" customWidth="1"/>
    <col min="3593" max="3840" width="9.33203125" style="560"/>
    <col min="3841" max="3841" width="27.44140625" style="560" bestFit="1" customWidth="1"/>
    <col min="3842" max="3842" width="15.5546875" style="560" bestFit="1" customWidth="1"/>
    <col min="3843" max="3843" width="21.5546875" style="560" bestFit="1" customWidth="1"/>
    <col min="3844" max="3844" width="10.44140625" style="560" customWidth="1"/>
    <col min="3845" max="3845" width="11.44140625" style="560" customWidth="1"/>
    <col min="3846" max="3846" width="12.33203125" style="560" customWidth="1"/>
    <col min="3847" max="3847" width="26.44140625" style="560" customWidth="1"/>
    <col min="3848" max="3848" width="12.5546875" style="560" bestFit="1" customWidth="1"/>
    <col min="3849" max="4096" width="9.33203125" style="560"/>
    <col min="4097" max="4097" width="27.44140625" style="560" bestFit="1" customWidth="1"/>
    <col min="4098" max="4098" width="15.5546875" style="560" bestFit="1" customWidth="1"/>
    <col min="4099" max="4099" width="21.5546875" style="560" bestFit="1" customWidth="1"/>
    <col min="4100" max="4100" width="10.44140625" style="560" customWidth="1"/>
    <col min="4101" max="4101" width="11.44140625" style="560" customWidth="1"/>
    <col min="4102" max="4102" width="12.33203125" style="560" customWidth="1"/>
    <col min="4103" max="4103" width="26.44140625" style="560" customWidth="1"/>
    <col min="4104" max="4104" width="12.5546875" style="560" bestFit="1" customWidth="1"/>
    <col min="4105" max="4352" width="9.33203125" style="560"/>
    <col min="4353" max="4353" width="27.44140625" style="560" bestFit="1" customWidth="1"/>
    <col min="4354" max="4354" width="15.5546875" style="560" bestFit="1" customWidth="1"/>
    <col min="4355" max="4355" width="21.5546875" style="560" bestFit="1" customWidth="1"/>
    <col min="4356" max="4356" width="10.44140625" style="560" customWidth="1"/>
    <col min="4357" max="4357" width="11.44140625" style="560" customWidth="1"/>
    <col min="4358" max="4358" width="12.33203125" style="560" customWidth="1"/>
    <col min="4359" max="4359" width="26.44140625" style="560" customWidth="1"/>
    <col min="4360" max="4360" width="12.5546875" style="560" bestFit="1" customWidth="1"/>
    <col min="4361" max="4608" width="9.33203125" style="560"/>
    <col min="4609" max="4609" width="27.44140625" style="560" bestFit="1" customWidth="1"/>
    <col min="4610" max="4610" width="15.5546875" style="560" bestFit="1" customWidth="1"/>
    <col min="4611" max="4611" width="21.5546875" style="560" bestFit="1" customWidth="1"/>
    <col min="4612" max="4612" width="10.44140625" style="560" customWidth="1"/>
    <col min="4613" max="4613" width="11.44140625" style="560" customWidth="1"/>
    <col min="4614" max="4614" width="12.33203125" style="560" customWidth="1"/>
    <col min="4615" max="4615" width="26.44140625" style="560" customWidth="1"/>
    <col min="4616" max="4616" width="12.5546875" style="560" bestFit="1" customWidth="1"/>
    <col min="4617" max="4864" width="9.33203125" style="560"/>
    <col min="4865" max="4865" width="27.44140625" style="560" bestFit="1" customWidth="1"/>
    <col min="4866" max="4866" width="15.5546875" style="560" bestFit="1" customWidth="1"/>
    <col min="4867" max="4867" width="21.5546875" style="560" bestFit="1" customWidth="1"/>
    <col min="4868" max="4868" width="10.44140625" style="560" customWidth="1"/>
    <col min="4869" max="4869" width="11.44140625" style="560" customWidth="1"/>
    <col min="4870" max="4870" width="12.33203125" style="560" customWidth="1"/>
    <col min="4871" max="4871" width="26.44140625" style="560" customWidth="1"/>
    <col min="4872" max="4872" width="12.5546875" style="560" bestFit="1" customWidth="1"/>
    <col min="4873" max="5120" width="9.33203125" style="560"/>
    <col min="5121" max="5121" width="27.44140625" style="560" bestFit="1" customWidth="1"/>
    <col min="5122" max="5122" width="15.5546875" style="560" bestFit="1" customWidth="1"/>
    <col min="5123" max="5123" width="21.5546875" style="560" bestFit="1" customWidth="1"/>
    <col min="5124" max="5124" width="10.44140625" style="560" customWidth="1"/>
    <col min="5125" max="5125" width="11.44140625" style="560" customWidth="1"/>
    <col min="5126" max="5126" width="12.33203125" style="560" customWidth="1"/>
    <col min="5127" max="5127" width="26.44140625" style="560" customWidth="1"/>
    <col min="5128" max="5128" width="12.5546875" style="560" bestFit="1" customWidth="1"/>
    <col min="5129" max="5376" width="9.33203125" style="560"/>
    <col min="5377" max="5377" width="27.44140625" style="560" bestFit="1" customWidth="1"/>
    <col min="5378" max="5378" width="15.5546875" style="560" bestFit="1" customWidth="1"/>
    <col min="5379" max="5379" width="21.5546875" style="560" bestFit="1" customWidth="1"/>
    <col min="5380" max="5380" width="10.44140625" style="560" customWidth="1"/>
    <col min="5381" max="5381" width="11.44140625" style="560" customWidth="1"/>
    <col min="5382" max="5382" width="12.33203125" style="560" customWidth="1"/>
    <col min="5383" max="5383" width="26.44140625" style="560" customWidth="1"/>
    <col min="5384" max="5384" width="12.5546875" style="560" bestFit="1" customWidth="1"/>
    <col min="5385" max="5632" width="9.33203125" style="560"/>
    <col min="5633" max="5633" width="27.44140625" style="560" bestFit="1" customWidth="1"/>
    <col min="5634" max="5634" width="15.5546875" style="560" bestFit="1" customWidth="1"/>
    <col min="5635" max="5635" width="21.5546875" style="560" bestFit="1" customWidth="1"/>
    <col min="5636" max="5636" width="10.44140625" style="560" customWidth="1"/>
    <col min="5637" max="5637" width="11.44140625" style="560" customWidth="1"/>
    <col min="5638" max="5638" width="12.33203125" style="560" customWidth="1"/>
    <col min="5639" max="5639" width="26.44140625" style="560" customWidth="1"/>
    <col min="5640" max="5640" width="12.5546875" style="560" bestFit="1" customWidth="1"/>
    <col min="5641" max="5888" width="9.33203125" style="560"/>
    <col min="5889" max="5889" width="27.44140625" style="560" bestFit="1" customWidth="1"/>
    <col min="5890" max="5890" width="15.5546875" style="560" bestFit="1" customWidth="1"/>
    <col min="5891" max="5891" width="21.5546875" style="560" bestFit="1" customWidth="1"/>
    <col min="5892" max="5892" width="10.44140625" style="560" customWidth="1"/>
    <col min="5893" max="5893" width="11.44140625" style="560" customWidth="1"/>
    <col min="5894" max="5894" width="12.33203125" style="560" customWidth="1"/>
    <col min="5895" max="5895" width="26.44140625" style="560" customWidth="1"/>
    <col min="5896" max="5896" width="12.5546875" style="560" bestFit="1" customWidth="1"/>
    <col min="5897" max="6144" width="9.33203125" style="560"/>
    <col min="6145" max="6145" width="27.44140625" style="560" bestFit="1" customWidth="1"/>
    <col min="6146" max="6146" width="15.5546875" style="560" bestFit="1" customWidth="1"/>
    <col min="6147" max="6147" width="21.5546875" style="560" bestFit="1" customWidth="1"/>
    <col min="6148" max="6148" width="10.44140625" style="560" customWidth="1"/>
    <col min="6149" max="6149" width="11.44140625" style="560" customWidth="1"/>
    <col min="6150" max="6150" width="12.33203125" style="560" customWidth="1"/>
    <col min="6151" max="6151" width="26.44140625" style="560" customWidth="1"/>
    <col min="6152" max="6152" width="12.5546875" style="560" bestFit="1" customWidth="1"/>
    <col min="6153" max="6400" width="9.33203125" style="560"/>
    <col min="6401" max="6401" width="27.44140625" style="560" bestFit="1" customWidth="1"/>
    <col min="6402" max="6402" width="15.5546875" style="560" bestFit="1" customWidth="1"/>
    <col min="6403" max="6403" width="21.5546875" style="560" bestFit="1" customWidth="1"/>
    <col min="6404" max="6404" width="10.44140625" style="560" customWidth="1"/>
    <col min="6405" max="6405" width="11.44140625" style="560" customWidth="1"/>
    <col min="6406" max="6406" width="12.33203125" style="560" customWidth="1"/>
    <col min="6407" max="6407" width="26.44140625" style="560" customWidth="1"/>
    <col min="6408" max="6408" width="12.5546875" style="560" bestFit="1" customWidth="1"/>
    <col min="6409" max="6656" width="9.33203125" style="560"/>
    <col min="6657" max="6657" width="27.44140625" style="560" bestFit="1" customWidth="1"/>
    <col min="6658" max="6658" width="15.5546875" style="560" bestFit="1" customWidth="1"/>
    <col min="6659" max="6659" width="21.5546875" style="560" bestFit="1" customWidth="1"/>
    <col min="6660" max="6660" width="10.44140625" style="560" customWidth="1"/>
    <col min="6661" max="6661" width="11.44140625" style="560" customWidth="1"/>
    <col min="6662" max="6662" width="12.33203125" style="560" customWidth="1"/>
    <col min="6663" max="6663" width="26.44140625" style="560" customWidth="1"/>
    <col min="6664" max="6664" width="12.5546875" style="560" bestFit="1" customWidth="1"/>
    <col min="6665" max="6912" width="9.33203125" style="560"/>
    <col min="6913" max="6913" width="27.44140625" style="560" bestFit="1" customWidth="1"/>
    <col min="6914" max="6914" width="15.5546875" style="560" bestFit="1" customWidth="1"/>
    <col min="6915" max="6915" width="21.5546875" style="560" bestFit="1" customWidth="1"/>
    <col min="6916" max="6916" width="10.44140625" style="560" customWidth="1"/>
    <col min="6917" max="6917" width="11.44140625" style="560" customWidth="1"/>
    <col min="6918" max="6918" width="12.33203125" style="560" customWidth="1"/>
    <col min="6919" max="6919" width="26.44140625" style="560" customWidth="1"/>
    <col min="6920" max="6920" width="12.5546875" style="560" bestFit="1" customWidth="1"/>
    <col min="6921" max="7168" width="9.33203125" style="560"/>
    <col min="7169" max="7169" width="27.44140625" style="560" bestFit="1" customWidth="1"/>
    <col min="7170" max="7170" width="15.5546875" style="560" bestFit="1" customWidth="1"/>
    <col min="7171" max="7171" width="21.5546875" style="560" bestFit="1" customWidth="1"/>
    <col min="7172" max="7172" width="10.44140625" style="560" customWidth="1"/>
    <col min="7173" max="7173" width="11.44140625" style="560" customWidth="1"/>
    <col min="7174" max="7174" width="12.33203125" style="560" customWidth="1"/>
    <col min="7175" max="7175" width="26.44140625" style="560" customWidth="1"/>
    <col min="7176" max="7176" width="12.5546875" style="560" bestFit="1" customWidth="1"/>
    <col min="7177" max="7424" width="9.33203125" style="560"/>
    <col min="7425" max="7425" width="27.44140625" style="560" bestFit="1" customWidth="1"/>
    <col min="7426" max="7426" width="15.5546875" style="560" bestFit="1" customWidth="1"/>
    <col min="7427" max="7427" width="21.5546875" style="560" bestFit="1" customWidth="1"/>
    <col min="7428" max="7428" width="10.44140625" style="560" customWidth="1"/>
    <col min="7429" max="7429" width="11.44140625" style="560" customWidth="1"/>
    <col min="7430" max="7430" width="12.33203125" style="560" customWidth="1"/>
    <col min="7431" max="7431" width="26.44140625" style="560" customWidth="1"/>
    <col min="7432" max="7432" width="12.5546875" style="560" bestFit="1" customWidth="1"/>
    <col min="7433" max="7680" width="9.33203125" style="560"/>
    <col min="7681" max="7681" width="27.44140625" style="560" bestFit="1" customWidth="1"/>
    <col min="7682" max="7682" width="15.5546875" style="560" bestFit="1" customWidth="1"/>
    <col min="7683" max="7683" width="21.5546875" style="560" bestFit="1" customWidth="1"/>
    <col min="7684" max="7684" width="10.44140625" style="560" customWidth="1"/>
    <col min="7685" max="7685" width="11.44140625" style="560" customWidth="1"/>
    <col min="7686" max="7686" width="12.33203125" style="560" customWidth="1"/>
    <col min="7687" max="7687" width="26.44140625" style="560" customWidth="1"/>
    <col min="7688" max="7688" width="12.5546875" style="560" bestFit="1" customWidth="1"/>
    <col min="7689" max="7936" width="9.33203125" style="560"/>
    <col min="7937" max="7937" width="27.44140625" style="560" bestFit="1" customWidth="1"/>
    <col min="7938" max="7938" width="15.5546875" style="560" bestFit="1" customWidth="1"/>
    <col min="7939" max="7939" width="21.5546875" style="560" bestFit="1" customWidth="1"/>
    <col min="7940" max="7940" width="10.44140625" style="560" customWidth="1"/>
    <col min="7941" max="7941" width="11.44140625" style="560" customWidth="1"/>
    <col min="7942" max="7942" width="12.33203125" style="560" customWidth="1"/>
    <col min="7943" max="7943" width="26.44140625" style="560" customWidth="1"/>
    <col min="7944" max="7944" width="12.5546875" style="560" bestFit="1" customWidth="1"/>
    <col min="7945" max="8192" width="9.33203125" style="560"/>
    <col min="8193" max="8193" width="27.44140625" style="560" bestFit="1" customWidth="1"/>
    <col min="8194" max="8194" width="15.5546875" style="560" bestFit="1" customWidth="1"/>
    <col min="8195" max="8195" width="21.5546875" style="560" bestFit="1" customWidth="1"/>
    <col min="8196" max="8196" width="10.44140625" style="560" customWidth="1"/>
    <col min="8197" max="8197" width="11.44140625" style="560" customWidth="1"/>
    <col min="8198" max="8198" width="12.33203125" style="560" customWidth="1"/>
    <col min="8199" max="8199" width="26.44140625" style="560" customWidth="1"/>
    <col min="8200" max="8200" width="12.5546875" style="560" bestFit="1" customWidth="1"/>
    <col min="8201" max="8448" width="9.33203125" style="560"/>
    <col min="8449" max="8449" width="27.44140625" style="560" bestFit="1" customWidth="1"/>
    <col min="8450" max="8450" width="15.5546875" style="560" bestFit="1" customWidth="1"/>
    <col min="8451" max="8451" width="21.5546875" style="560" bestFit="1" customWidth="1"/>
    <col min="8452" max="8452" width="10.44140625" style="560" customWidth="1"/>
    <col min="8453" max="8453" width="11.44140625" style="560" customWidth="1"/>
    <col min="8454" max="8454" width="12.33203125" style="560" customWidth="1"/>
    <col min="8455" max="8455" width="26.44140625" style="560" customWidth="1"/>
    <col min="8456" max="8456" width="12.5546875" style="560" bestFit="1" customWidth="1"/>
    <col min="8457" max="8704" width="9.33203125" style="560"/>
    <col min="8705" max="8705" width="27.44140625" style="560" bestFit="1" customWidth="1"/>
    <col min="8706" max="8706" width="15.5546875" style="560" bestFit="1" customWidth="1"/>
    <col min="8707" max="8707" width="21.5546875" style="560" bestFit="1" customWidth="1"/>
    <col min="8708" max="8708" width="10.44140625" style="560" customWidth="1"/>
    <col min="8709" max="8709" width="11.44140625" style="560" customWidth="1"/>
    <col min="8710" max="8710" width="12.33203125" style="560" customWidth="1"/>
    <col min="8711" max="8711" width="26.44140625" style="560" customWidth="1"/>
    <col min="8712" max="8712" width="12.5546875" style="560" bestFit="1" customWidth="1"/>
    <col min="8713" max="8960" width="9.33203125" style="560"/>
    <col min="8961" max="8961" width="27.44140625" style="560" bestFit="1" customWidth="1"/>
    <col min="8962" max="8962" width="15.5546875" style="560" bestFit="1" customWidth="1"/>
    <col min="8963" max="8963" width="21.5546875" style="560" bestFit="1" customWidth="1"/>
    <col min="8964" max="8964" width="10.44140625" style="560" customWidth="1"/>
    <col min="8965" max="8965" width="11.44140625" style="560" customWidth="1"/>
    <col min="8966" max="8966" width="12.33203125" style="560" customWidth="1"/>
    <col min="8967" max="8967" width="26.44140625" style="560" customWidth="1"/>
    <col min="8968" max="8968" width="12.5546875" style="560" bestFit="1" customWidth="1"/>
    <col min="8969" max="9216" width="9.33203125" style="560"/>
    <col min="9217" max="9217" width="27.44140625" style="560" bestFit="1" customWidth="1"/>
    <col min="9218" max="9218" width="15.5546875" style="560" bestFit="1" customWidth="1"/>
    <col min="9219" max="9219" width="21.5546875" style="560" bestFit="1" customWidth="1"/>
    <col min="9220" max="9220" width="10.44140625" style="560" customWidth="1"/>
    <col min="9221" max="9221" width="11.44140625" style="560" customWidth="1"/>
    <col min="9222" max="9222" width="12.33203125" style="560" customWidth="1"/>
    <col min="9223" max="9223" width="26.44140625" style="560" customWidth="1"/>
    <col min="9224" max="9224" width="12.5546875" style="560" bestFit="1" customWidth="1"/>
    <col min="9225" max="9472" width="9.33203125" style="560"/>
    <col min="9473" max="9473" width="27.44140625" style="560" bestFit="1" customWidth="1"/>
    <col min="9474" max="9474" width="15.5546875" style="560" bestFit="1" customWidth="1"/>
    <col min="9475" max="9475" width="21.5546875" style="560" bestFit="1" customWidth="1"/>
    <col min="9476" max="9476" width="10.44140625" style="560" customWidth="1"/>
    <col min="9477" max="9477" width="11.44140625" style="560" customWidth="1"/>
    <col min="9478" max="9478" width="12.33203125" style="560" customWidth="1"/>
    <col min="9479" max="9479" width="26.44140625" style="560" customWidth="1"/>
    <col min="9480" max="9480" width="12.5546875" style="560" bestFit="1" customWidth="1"/>
    <col min="9481" max="9728" width="9.33203125" style="560"/>
    <col min="9729" max="9729" width="27.44140625" style="560" bestFit="1" customWidth="1"/>
    <col min="9730" max="9730" width="15.5546875" style="560" bestFit="1" customWidth="1"/>
    <col min="9731" max="9731" width="21.5546875" style="560" bestFit="1" customWidth="1"/>
    <col min="9732" max="9732" width="10.44140625" style="560" customWidth="1"/>
    <col min="9733" max="9733" width="11.44140625" style="560" customWidth="1"/>
    <col min="9734" max="9734" width="12.33203125" style="560" customWidth="1"/>
    <col min="9735" max="9735" width="26.44140625" style="560" customWidth="1"/>
    <col min="9736" max="9736" width="12.5546875" style="560" bestFit="1" customWidth="1"/>
    <col min="9737" max="9984" width="9.33203125" style="560"/>
    <col min="9985" max="9985" width="27.44140625" style="560" bestFit="1" customWidth="1"/>
    <col min="9986" max="9986" width="15.5546875" style="560" bestFit="1" customWidth="1"/>
    <col min="9987" max="9987" width="21.5546875" style="560" bestFit="1" customWidth="1"/>
    <col min="9988" max="9988" width="10.44140625" style="560" customWidth="1"/>
    <col min="9989" max="9989" width="11.44140625" style="560" customWidth="1"/>
    <col min="9990" max="9990" width="12.33203125" style="560" customWidth="1"/>
    <col min="9991" max="9991" width="26.44140625" style="560" customWidth="1"/>
    <col min="9992" max="9992" width="12.5546875" style="560" bestFit="1" customWidth="1"/>
    <col min="9993" max="10240" width="9.33203125" style="560"/>
    <col min="10241" max="10241" width="27.44140625" style="560" bestFit="1" customWidth="1"/>
    <col min="10242" max="10242" width="15.5546875" style="560" bestFit="1" customWidth="1"/>
    <col min="10243" max="10243" width="21.5546875" style="560" bestFit="1" customWidth="1"/>
    <col min="10244" max="10244" width="10.44140625" style="560" customWidth="1"/>
    <col min="10245" max="10245" width="11.44140625" style="560" customWidth="1"/>
    <col min="10246" max="10246" width="12.33203125" style="560" customWidth="1"/>
    <col min="10247" max="10247" width="26.44140625" style="560" customWidth="1"/>
    <col min="10248" max="10248" width="12.5546875" style="560" bestFit="1" customWidth="1"/>
    <col min="10249" max="10496" width="9.33203125" style="560"/>
    <col min="10497" max="10497" width="27.44140625" style="560" bestFit="1" customWidth="1"/>
    <col min="10498" max="10498" width="15.5546875" style="560" bestFit="1" customWidth="1"/>
    <col min="10499" max="10499" width="21.5546875" style="560" bestFit="1" customWidth="1"/>
    <col min="10500" max="10500" width="10.44140625" style="560" customWidth="1"/>
    <col min="10501" max="10501" width="11.44140625" style="560" customWidth="1"/>
    <col min="10502" max="10502" width="12.33203125" style="560" customWidth="1"/>
    <col min="10503" max="10503" width="26.44140625" style="560" customWidth="1"/>
    <col min="10504" max="10504" width="12.5546875" style="560" bestFit="1" customWidth="1"/>
    <col min="10505" max="10752" width="9.33203125" style="560"/>
    <col min="10753" max="10753" width="27.44140625" style="560" bestFit="1" customWidth="1"/>
    <col min="10754" max="10754" width="15.5546875" style="560" bestFit="1" customWidth="1"/>
    <col min="10755" max="10755" width="21.5546875" style="560" bestFit="1" customWidth="1"/>
    <col min="10756" max="10756" width="10.44140625" style="560" customWidth="1"/>
    <col min="10757" max="10757" width="11.44140625" style="560" customWidth="1"/>
    <col min="10758" max="10758" width="12.33203125" style="560" customWidth="1"/>
    <col min="10759" max="10759" width="26.44140625" style="560" customWidth="1"/>
    <col min="10760" max="10760" width="12.5546875" style="560" bestFit="1" customWidth="1"/>
    <col min="10761" max="11008" width="9.33203125" style="560"/>
    <col min="11009" max="11009" width="27.44140625" style="560" bestFit="1" customWidth="1"/>
    <col min="11010" max="11010" width="15.5546875" style="560" bestFit="1" customWidth="1"/>
    <col min="11011" max="11011" width="21.5546875" style="560" bestFit="1" customWidth="1"/>
    <col min="11012" max="11012" width="10.44140625" style="560" customWidth="1"/>
    <col min="11013" max="11013" width="11.44140625" style="560" customWidth="1"/>
    <col min="11014" max="11014" width="12.33203125" style="560" customWidth="1"/>
    <col min="11015" max="11015" width="26.44140625" style="560" customWidth="1"/>
    <col min="11016" max="11016" width="12.5546875" style="560" bestFit="1" customWidth="1"/>
    <col min="11017" max="11264" width="9.33203125" style="560"/>
    <col min="11265" max="11265" width="27.44140625" style="560" bestFit="1" customWidth="1"/>
    <col min="11266" max="11266" width="15.5546875" style="560" bestFit="1" customWidth="1"/>
    <col min="11267" max="11267" width="21.5546875" style="560" bestFit="1" customWidth="1"/>
    <col min="11268" max="11268" width="10.44140625" style="560" customWidth="1"/>
    <col min="11269" max="11269" width="11.44140625" style="560" customWidth="1"/>
    <col min="11270" max="11270" width="12.33203125" style="560" customWidth="1"/>
    <col min="11271" max="11271" width="26.44140625" style="560" customWidth="1"/>
    <col min="11272" max="11272" width="12.5546875" style="560" bestFit="1" customWidth="1"/>
    <col min="11273" max="11520" width="9.33203125" style="560"/>
    <col min="11521" max="11521" width="27.44140625" style="560" bestFit="1" customWidth="1"/>
    <col min="11522" max="11522" width="15.5546875" style="560" bestFit="1" customWidth="1"/>
    <col min="11523" max="11523" width="21.5546875" style="560" bestFit="1" customWidth="1"/>
    <col min="11524" max="11524" width="10.44140625" style="560" customWidth="1"/>
    <col min="11525" max="11525" width="11.44140625" style="560" customWidth="1"/>
    <col min="11526" max="11526" width="12.33203125" style="560" customWidth="1"/>
    <col min="11527" max="11527" width="26.44140625" style="560" customWidth="1"/>
    <col min="11528" max="11528" width="12.5546875" style="560" bestFit="1" customWidth="1"/>
    <col min="11529" max="11776" width="9.33203125" style="560"/>
    <col min="11777" max="11777" width="27.44140625" style="560" bestFit="1" customWidth="1"/>
    <col min="11778" max="11778" width="15.5546875" style="560" bestFit="1" customWidth="1"/>
    <col min="11779" max="11779" width="21.5546875" style="560" bestFit="1" customWidth="1"/>
    <col min="11780" max="11780" width="10.44140625" style="560" customWidth="1"/>
    <col min="11781" max="11781" width="11.44140625" style="560" customWidth="1"/>
    <col min="11782" max="11782" width="12.33203125" style="560" customWidth="1"/>
    <col min="11783" max="11783" width="26.44140625" style="560" customWidth="1"/>
    <col min="11784" max="11784" width="12.5546875" style="560" bestFit="1" customWidth="1"/>
    <col min="11785" max="12032" width="9.33203125" style="560"/>
    <col min="12033" max="12033" width="27.44140625" style="560" bestFit="1" customWidth="1"/>
    <col min="12034" max="12034" width="15.5546875" style="560" bestFit="1" customWidth="1"/>
    <col min="12035" max="12035" width="21.5546875" style="560" bestFit="1" customWidth="1"/>
    <col min="12036" max="12036" width="10.44140625" style="560" customWidth="1"/>
    <col min="12037" max="12037" width="11.44140625" style="560" customWidth="1"/>
    <col min="12038" max="12038" width="12.33203125" style="560" customWidth="1"/>
    <col min="12039" max="12039" width="26.44140625" style="560" customWidth="1"/>
    <col min="12040" max="12040" width="12.5546875" style="560" bestFit="1" customWidth="1"/>
    <col min="12041" max="12288" width="9.33203125" style="560"/>
    <col min="12289" max="12289" width="27.44140625" style="560" bestFit="1" customWidth="1"/>
    <col min="12290" max="12290" width="15.5546875" style="560" bestFit="1" customWidth="1"/>
    <col min="12291" max="12291" width="21.5546875" style="560" bestFit="1" customWidth="1"/>
    <col min="12292" max="12292" width="10.44140625" style="560" customWidth="1"/>
    <col min="12293" max="12293" width="11.44140625" style="560" customWidth="1"/>
    <col min="12294" max="12294" width="12.33203125" style="560" customWidth="1"/>
    <col min="12295" max="12295" width="26.44140625" style="560" customWidth="1"/>
    <col min="12296" max="12296" width="12.5546875" style="560" bestFit="1" customWidth="1"/>
    <col min="12297" max="12544" width="9.33203125" style="560"/>
    <col min="12545" max="12545" width="27.44140625" style="560" bestFit="1" customWidth="1"/>
    <col min="12546" max="12546" width="15.5546875" style="560" bestFit="1" customWidth="1"/>
    <col min="12547" max="12547" width="21.5546875" style="560" bestFit="1" customWidth="1"/>
    <col min="12548" max="12548" width="10.44140625" style="560" customWidth="1"/>
    <col min="12549" max="12549" width="11.44140625" style="560" customWidth="1"/>
    <col min="12550" max="12550" width="12.33203125" style="560" customWidth="1"/>
    <col min="12551" max="12551" width="26.44140625" style="560" customWidth="1"/>
    <col min="12552" max="12552" width="12.5546875" style="560" bestFit="1" customWidth="1"/>
    <col min="12553" max="12800" width="9.33203125" style="560"/>
    <col min="12801" max="12801" width="27.44140625" style="560" bestFit="1" customWidth="1"/>
    <col min="12802" max="12802" width="15.5546875" style="560" bestFit="1" customWidth="1"/>
    <col min="12803" max="12803" width="21.5546875" style="560" bestFit="1" customWidth="1"/>
    <col min="12804" max="12804" width="10.44140625" style="560" customWidth="1"/>
    <col min="12805" max="12805" width="11.44140625" style="560" customWidth="1"/>
    <col min="12806" max="12806" width="12.33203125" style="560" customWidth="1"/>
    <col min="12807" max="12807" width="26.44140625" style="560" customWidth="1"/>
    <col min="12808" max="12808" width="12.5546875" style="560" bestFit="1" customWidth="1"/>
    <col min="12809" max="13056" width="9.33203125" style="560"/>
    <col min="13057" max="13057" width="27.44140625" style="560" bestFit="1" customWidth="1"/>
    <col min="13058" max="13058" width="15.5546875" style="560" bestFit="1" customWidth="1"/>
    <col min="13059" max="13059" width="21.5546875" style="560" bestFit="1" customWidth="1"/>
    <col min="13060" max="13060" width="10.44140625" style="560" customWidth="1"/>
    <col min="13061" max="13061" width="11.44140625" style="560" customWidth="1"/>
    <col min="13062" max="13062" width="12.33203125" style="560" customWidth="1"/>
    <col min="13063" max="13063" width="26.44140625" style="560" customWidth="1"/>
    <col min="13064" max="13064" width="12.5546875" style="560" bestFit="1" customWidth="1"/>
    <col min="13065" max="13312" width="9.33203125" style="560"/>
    <col min="13313" max="13313" width="27.44140625" style="560" bestFit="1" customWidth="1"/>
    <col min="13314" max="13314" width="15.5546875" style="560" bestFit="1" customWidth="1"/>
    <col min="13315" max="13315" width="21.5546875" style="560" bestFit="1" customWidth="1"/>
    <col min="13316" max="13316" width="10.44140625" style="560" customWidth="1"/>
    <col min="13317" max="13317" width="11.44140625" style="560" customWidth="1"/>
    <col min="13318" max="13318" width="12.33203125" style="560" customWidth="1"/>
    <col min="13319" max="13319" width="26.44140625" style="560" customWidth="1"/>
    <col min="13320" max="13320" width="12.5546875" style="560" bestFit="1" customWidth="1"/>
    <col min="13321" max="13568" width="9.33203125" style="560"/>
    <col min="13569" max="13569" width="27.44140625" style="560" bestFit="1" customWidth="1"/>
    <col min="13570" max="13570" width="15.5546875" style="560" bestFit="1" customWidth="1"/>
    <col min="13571" max="13571" width="21.5546875" style="560" bestFit="1" customWidth="1"/>
    <col min="13572" max="13572" width="10.44140625" style="560" customWidth="1"/>
    <col min="13573" max="13573" width="11.44140625" style="560" customWidth="1"/>
    <col min="13574" max="13574" width="12.33203125" style="560" customWidth="1"/>
    <col min="13575" max="13575" width="26.44140625" style="560" customWidth="1"/>
    <col min="13576" max="13576" width="12.5546875" style="560" bestFit="1" customWidth="1"/>
    <col min="13577" max="13824" width="9.33203125" style="560"/>
    <col min="13825" max="13825" width="27.44140625" style="560" bestFit="1" customWidth="1"/>
    <col min="13826" max="13826" width="15.5546875" style="560" bestFit="1" customWidth="1"/>
    <col min="13827" max="13827" width="21.5546875" style="560" bestFit="1" customWidth="1"/>
    <col min="13828" max="13828" width="10.44140625" style="560" customWidth="1"/>
    <col min="13829" max="13829" width="11.44140625" style="560" customWidth="1"/>
    <col min="13830" max="13830" width="12.33203125" style="560" customWidth="1"/>
    <col min="13831" max="13831" width="26.44140625" style="560" customWidth="1"/>
    <col min="13832" max="13832" width="12.5546875" style="560" bestFit="1" customWidth="1"/>
    <col min="13833" max="14080" width="9.33203125" style="560"/>
    <col min="14081" max="14081" width="27.44140625" style="560" bestFit="1" customWidth="1"/>
    <col min="14082" max="14082" width="15.5546875" style="560" bestFit="1" customWidth="1"/>
    <col min="14083" max="14083" width="21.5546875" style="560" bestFit="1" customWidth="1"/>
    <col min="14084" max="14084" width="10.44140625" style="560" customWidth="1"/>
    <col min="14085" max="14085" width="11.44140625" style="560" customWidth="1"/>
    <col min="14086" max="14086" width="12.33203125" style="560" customWidth="1"/>
    <col min="14087" max="14087" width="26.44140625" style="560" customWidth="1"/>
    <col min="14088" max="14088" width="12.5546875" style="560" bestFit="1" customWidth="1"/>
    <col min="14089" max="14336" width="9.33203125" style="560"/>
    <col min="14337" max="14337" width="27.44140625" style="560" bestFit="1" customWidth="1"/>
    <col min="14338" max="14338" width="15.5546875" style="560" bestFit="1" customWidth="1"/>
    <col min="14339" max="14339" width="21.5546875" style="560" bestFit="1" customWidth="1"/>
    <col min="14340" max="14340" width="10.44140625" style="560" customWidth="1"/>
    <col min="14341" max="14341" width="11.44140625" style="560" customWidth="1"/>
    <col min="14342" max="14342" width="12.33203125" style="560" customWidth="1"/>
    <col min="14343" max="14343" width="26.44140625" style="560" customWidth="1"/>
    <col min="14344" max="14344" width="12.5546875" style="560" bestFit="1" customWidth="1"/>
    <col min="14345" max="14592" width="9.33203125" style="560"/>
    <col min="14593" max="14593" width="27.44140625" style="560" bestFit="1" customWidth="1"/>
    <col min="14594" max="14594" width="15.5546875" style="560" bestFit="1" customWidth="1"/>
    <col min="14595" max="14595" width="21.5546875" style="560" bestFit="1" customWidth="1"/>
    <col min="14596" max="14596" width="10.44140625" style="560" customWidth="1"/>
    <col min="14597" max="14597" width="11.44140625" style="560" customWidth="1"/>
    <col min="14598" max="14598" width="12.33203125" style="560" customWidth="1"/>
    <col min="14599" max="14599" width="26.44140625" style="560" customWidth="1"/>
    <col min="14600" max="14600" width="12.5546875" style="560" bestFit="1" customWidth="1"/>
    <col min="14601" max="14848" width="9.33203125" style="560"/>
    <col min="14849" max="14849" width="27.44140625" style="560" bestFit="1" customWidth="1"/>
    <col min="14850" max="14850" width="15.5546875" style="560" bestFit="1" customWidth="1"/>
    <col min="14851" max="14851" width="21.5546875" style="560" bestFit="1" customWidth="1"/>
    <col min="14852" max="14852" width="10.44140625" style="560" customWidth="1"/>
    <col min="14853" max="14853" width="11.44140625" style="560" customWidth="1"/>
    <col min="14854" max="14854" width="12.33203125" style="560" customWidth="1"/>
    <col min="14855" max="14855" width="26.44140625" style="560" customWidth="1"/>
    <col min="14856" max="14856" width="12.5546875" style="560" bestFit="1" customWidth="1"/>
    <col min="14857" max="15104" width="9.33203125" style="560"/>
    <col min="15105" max="15105" width="27.44140625" style="560" bestFit="1" customWidth="1"/>
    <col min="15106" max="15106" width="15.5546875" style="560" bestFit="1" customWidth="1"/>
    <col min="15107" max="15107" width="21.5546875" style="560" bestFit="1" customWidth="1"/>
    <col min="15108" max="15108" width="10.44140625" style="560" customWidth="1"/>
    <col min="15109" max="15109" width="11.44140625" style="560" customWidth="1"/>
    <col min="15110" max="15110" width="12.33203125" style="560" customWidth="1"/>
    <col min="15111" max="15111" width="26.44140625" style="560" customWidth="1"/>
    <col min="15112" max="15112" width="12.5546875" style="560" bestFit="1" customWidth="1"/>
    <col min="15113" max="15360" width="9.33203125" style="560"/>
    <col min="15361" max="15361" width="27.44140625" style="560" bestFit="1" customWidth="1"/>
    <col min="15362" max="15362" width="15.5546875" style="560" bestFit="1" customWidth="1"/>
    <col min="15363" max="15363" width="21.5546875" style="560" bestFit="1" customWidth="1"/>
    <col min="15364" max="15364" width="10.44140625" style="560" customWidth="1"/>
    <col min="15365" max="15365" width="11.44140625" style="560" customWidth="1"/>
    <col min="15366" max="15366" width="12.33203125" style="560" customWidth="1"/>
    <col min="15367" max="15367" width="26.44140625" style="560" customWidth="1"/>
    <col min="15368" max="15368" width="12.5546875" style="560" bestFit="1" customWidth="1"/>
    <col min="15369" max="15616" width="9.33203125" style="560"/>
    <col min="15617" max="15617" width="27.44140625" style="560" bestFit="1" customWidth="1"/>
    <col min="15618" max="15618" width="15.5546875" style="560" bestFit="1" customWidth="1"/>
    <col min="15619" max="15619" width="21.5546875" style="560" bestFit="1" customWidth="1"/>
    <col min="15620" max="15620" width="10.44140625" style="560" customWidth="1"/>
    <col min="15621" max="15621" width="11.44140625" style="560" customWidth="1"/>
    <col min="15622" max="15622" width="12.33203125" style="560" customWidth="1"/>
    <col min="15623" max="15623" width="26.44140625" style="560" customWidth="1"/>
    <col min="15624" max="15624" width="12.5546875" style="560" bestFit="1" customWidth="1"/>
    <col min="15625" max="15872" width="9.33203125" style="560"/>
    <col min="15873" max="15873" width="27.44140625" style="560" bestFit="1" customWidth="1"/>
    <col min="15874" max="15874" width="15.5546875" style="560" bestFit="1" customWidth="1"/>
    <col min="15875" max="15875" width="21.5546875" style="560" bestFit="1" customWidth="1"/>
    <col min="15876" max="15876" width="10.44140625" style="560" customWidth="1"/>
    <col min="15877" max="15877" width="11.44140625" style="560" customWidth="1"/>
    <col min="15878" max="15878" width="12.33203125" style="560" customWidth="1"/>
    <col min="15879" max="15879" width="26.44140625" style="560" customWidth="1"/>
    <col min="15880" max="15880" width="12.5546875" style="560" bestFit="1" customWidth="1"/>
    <col min="15881" max="16128" width="9.33203125" style="560"/>
    <col min="16129" max="16129" width="27.44140625" style="560" bestFit="1" customWidth="1"/>
    <col min="16130" max="16130" width="15.5546875" style="560" bestFit="1" customWidth="1"/>
    <col min="16131" max="16131" width="21.5546875" style="560" bestFit="1" customWidth="1"/>
    <col min="16132" max="16132" width="10.44140625" style="560" customWidth="1"/>
    <col min="16133" max="16133" width="11.44140625" style="560" customWidth="1"/>
    <col min="16134" max="16134" width="12.33203125" style="560" customWidth="1"/>
    <col min="16135" max="16135" width="26.44140625" style="560" customWidth="1"/>
    <col min="16136" max="16136" width="12.5546875" style="560" bestFit="1" customWidth="1"/>
    <col min="16137" max="16384" width="9.33203125" style="560"/>
  </cols>
  <sheetData>
    <row r="1" spans="1:8" s="550" customFormat="1" ht="33.6" customHeight="1" thickBot="1" x14ac:dyDescent="0.3">
      <c r="A1" s="845" t="s">
        <v>595</v>
      </c>
      <c r="B1" s="846"/>
      <c r="C1" s="846"/>
      <c r="D1" s="846"/>
      <c r="E1" s="846"/>
      <c r="F1" s="846"/>
      <c r="G1" s="847"/>
    </row>
    <row r="2" spans="1:8" s="555" customFormat="1" ht="41.4" x14ac:dyDescent="0.25">
      <c r="A2" s="551" t="s">
        <v>596</v>
      </c>
      <c r="B2" s="552" t="s">
        <v>597</v>
      </c>
      <c r="C2" s="552" t="s">
        <v>598</v>
      </c>
      <c r="D2" s="553" t="s">
        <v>881</v>
      </c>
      <c r="E2" s="553" t="s">
        <v>754</v>
      </c>
      <c r="F2" s="552" t="s">
        <v>599</v>
      </c>
      <c r="G2" s="554" t="s">
        <v>600</v>
      </c>
    </row>
    <row r="3" spans="1:8" x14ac:dyDescent="0.25">
      <c r="A3" s="556"/>
      <c r="B3" s="557"/>
      <c r="C3" s="557"/>
      <c r="D3" s="558"/>
      <c r="E3" s="558"/>
      <c r="F3" s="558"/>
      <c r="G3" s="559"/>
    </row>
    <row r="4" spans="1:8" x14ac:dyDescent="0.25">
      <c r="A4" s="561" t="s">
        <v>601</v>
      </c>
      <c r="B4" s="562"/>
      <c r="C4" s="562"/>
      <c r="D4" s="558"/>
      <c r="E4" s="558"/>
      <c r="F4" s="558"/>
      <c r="G4" s="563"/>
    </row>
    <row r="5" spans="1:8" x14ac:dyDescent="0.25">
      <c r="A5" s="561"/>
      <c r="B5" s="562"/>
      <c r="C5" s="562"/>
      <c r="D5" s="558"/>
      <c r="E5" s="558"/>
      <c r="F5" s="558"/>
      <c r="G5" s="563"/>
    </row>
    <row r="6" spans="1:8" ht="27.6" x14ac:dyDescent="0.25">
      <c r="A6" s="556" t="s">
        <v>602</v>
      </c>
      <c r="B6" s="564" t="s">
        <v>603</v>
      </c>
      <c r="C6" s="564" t="s">
        <v>604</v>
      </c>
      <c r="D6" s="558">
        <f>(BS!D8+BS!D14+BS!D11)/(BS!D32+BS!D33+BS!D34)</f>
        <v>6.276854555010722</v>
      </c>
      <c r="E6" s="558">
        <f>(BS!E8+BS!E14)/(BS!E32+BS!E33+BS!E34)</f>
        <v>2.2960968963849733</v>
      </c>
      <c r="F6" s="565">
        <f>(D6-E6)/E6</f>
        <v>1.7337063017214749</v>
      </c>
      <c r="G6" s="563"/>
      <c r="H6" s="566"/>
    </row>
    <row r="7" spans="1:8" x14ac:dyDescent="0.25">
      <c r="A7" s="556"/>
      <c r="C7" s="567"/>
      <c r="D7" s="558"/>
      <c r="E7" s="558"/>
      <c r="F7" s="565"/>
      <c r="G7" s="563"/>
    </row>
    <row r="8" spans="1:8" x14ac:dyDescent="0.25">
      <c r="A8" s="561" t="s">
        <v>605</v>
      </c>
      <c r="B8" s="568"/>
      <c r="C8" s="569"/>
      <c r="D8" s="558"/>
      <c r="E8" s="558"/>
      <c r="F8" s="565"/>
      <c r="G8" s="563"/>
    </row>
    <row r="9" spans="1:8" x14ac:dyDescent="0.25">
      <c r="A9" s="561"/>
      <c r="B9" s="569"/>
      <c r="C9" s="569"/>
      <c r="D9" s="558"/>
      <c r="E9" s="558"/>
      <c r="F9" s="565"/>
      <c r="G9" s="563"/>
    </row>
    <row r="10" spans="1:8" ht="27.6" x14ac:dyDescent="0.25">
      <c r="A10" s="556" t="s">
        <v>606</v>
      </c>
      <c r="B10" s="570" t="s">
        <v>604</v>
      </c>
      <c r="C10" s="567" t="s">
        <v>607</v>
      </c>
      <c r="D10" s="558">
        <f>(BS!D32+BS!D33+BS!D34)/(BS!D37+BS!D38)</f>
        <v>5.3304226810794691E-2</v>
      </c>
      <c r="E10" s="558">
        <f>(BS!E32+BS!E33+BS!E34)/(BS!E37+BS!E38)</f>
        <v>4.6003295151813145E-2</v>
      </c>
      <c r="F10" s="565">
        <f>(D10-E10)/E10</f>
        <v>0.15870453703127377</v>
      </c>
      <c r="G10" s="571"/>
    </row>
    <row r="11" spans="1:8" x14ac:dyDescent="0.25">
      <c r="A11" s="556" t="s">
        <v>608</v>
      </c>
      <c r="B11" s="567"/>
      <c r="C11" s="567"/>
      <c r="D11" s="558">
        <v>0</v>
      </c>
      <c r="E11" s="558">
        <v>0</v>
      </c>
      <c r="F11" s="558">
        <v>0</v>
      </c>
      <c r="G11" s="563" t="s">
        <v>609</v>
      </c>
    </row>
    <row r="12" spans="1:8" x14ac:dyDescent="0.25">
      <c r="A12" s="556"/>
      <c r="C12" s="567"/>
      <c r="D12" s="558"/>
      <c r="E12" s="558"/>
      <c r="F12" s="565"/>
      <c r="G12" s="563"/>
    </row>
    <row r="13" spans="1:8" x14ac:dyDescent="0.25">
      <c r="A13" s="561" t="s">
        <v>610</v>
      </c>
      <c r="B13" s="562"/>
      <c r="C13" s="562"/>
      <c r="D13" s="558"/>
      <c r="E13" s="558"/>
      <c r="F13" s="565"/>
      <c r="G13" s="563"/>
    </row>
    <row r="14" spans="1:8" x14ac:dyDescent="0.25">
      <c r="A14" s="556"/>
      <c r="B14" s="557"/>
      <c r="C14" s="557"/>
      <c r="D14" s="558"/>
      <c r="E14" s="558"/>
      <c r="F14" s="565"/>
      <c r="G14" s="563"/>
    </row>
    <row r="15" spans="1:8" x14ac:dyDescent="0.25">
      <c r="A15" s="556" t="s">
        <v>611</v>
      </c>
      <c r="B15" s="557"/>
      <c r="C15" s="557"/>
      <c r="D15" s="558">
        <v>0</v>
      </c>
      <c r="E15" s="558">
        <v>0</v>
      </c>
      <c r="F15" s="558">
        <v>0</v>
      </c>
      <c r="G15" s="563"/>
    </row>
    <row r="16" spans="1:8" x14ac:dyDescent="0.25">
      <c r="A16" s="556" t="s">
        <v>612</v>
      </c>
      <c r="B16" s="557" t="s">
        <v>351</v>
      </c>
      <c r="C16" s="557" t="s">
        <v>613</v>
      </c>
      <c r="D16" s="558">
        <v>0</v>
      </c>
      <c r="E16" s="558">
        <v>0</v>
      </c>
      <c r="F16" s="565">
        <v>0</v>
      </c>
      <c r="G16" s="571"/>
    </row>
    <row r="17" spans="1:7" x14ac:dyDescent="0.25">
      <c r="A17" s="556" t="s">
        <v>614</v>
      </c>
      <c r="B17" s="557" t="s">
        <v>615</v>
      </c>
      <c r="C17" s="557" t="s">
        <v>613</v>
      </c>
      <c r="D17" s="558">
        <v>0</v>
      </c>
      <c r="E17" s="558">
        <v>0</v>
      </c>
      <c r="F17" s="565">
        <v>0</v>
      </c>
      <c r="G17" s="563"/>
    </row>
    <row r="18" spans="1:7" x14ac:dyDescent="0.25">
      <c r="A18" s="556" t="s">
        <v>616</v>
      </c>
      <c r="B18" s="557" t="s">
        <v>607</v>
      </c>
      <c r="C18" s="557" t="s">
        <v>613</v>
      </c>
      <c r="D18" s="558">
        <f>(BS!D37+BS!D38)/PorL!D11</f>
        <v>1.9249122000548515</v>
      </c>
      <c r="E18" s="558">
        <f>(BS!E37+BS!E38)/PorL!E11</f>
        <v>4.6932791034702523</v>
      </c>
      <c r="F18" s="565">
        <f>(D18-E18)/E18</f>
        <v>-0.58985771832074629</v>
      </c>
      <c r="G18" s="563"/>
    </row>
    <row r="19" spans="1:7" x14ac:dyDescent="0.25">
      <c r="A19" s="556"/>
      <c r="B19" s="557"/>
      <c r="C19" s="557"/>
      <c r="D19" s="558"/>
      <c r="E19" s="558"/>
      <c r="F19" s="565"/>
      <c r="G19" s="563"/>
    </row>
    <row r="20" spans="1:7" x14ac:dyDescent="0.25">
      <c r="A20" s="561" t="s">
        <v>617</v>
      </c>
      <c r="B20" s="562"/>
      <c r="C20" s="562"/>
      <c r="D20" s="558"/>
      <c r="E20" s="558"/>
      <c r="F20" s="565"/>
      <c r="G20" s="563"/>
    </row>
    <row r="21" spans="1:7" x14ac:dyDescent="0.25">
      <c r="A21" s="556"/>
      <c r="B21" s="557"/>
      <c r="C21" s="557"/>
      <c r="D21" s="558"/>
      <c r="E21" s="558"/>
      <c r="F21" s="565"/>
      <c r="G21" s="563"/>
    </row>
    <row r="22" spans="1:7" x14ac:dyDescent="0.25">
      <c r="A22" s="556" t="s">
        <v>618</v>
      </c>
      <c r="B22" s="557" t="s">
        <v>619</v>
      </c>
      <c r="C22" s="557" t="s">
        <v>613</v>
      </c>
      <c r="D22" s="558">
        <f>PorL!D24/PorL!D11</f>
        <v>3.0878249259776277E-2</v>
      </c>
      <c r="E22" s="558">
        <f>PorL!E24/PorL!E11</f>
        <v>0.45823831252775704</v>
      </c>
      <c r="F22" s="565">
        <f>(D22-E22)/E22</f>
        <v>-0.9326153042737868</v>
      </c>
      <c r="G22" s="563"/>
    </row>
    <row r="23" spans="1:7" x14ac:dyDescent="0.25">
      <c r="A23" s="556" t="s">
        <v>620</v>
      </c>
      <c r="B23" s="557" t="s">
        <v>621</v>
      </c>
      <c r="C23" s="557" t="s">
        <v>607</v>
      </c>
      <c r="D23" s="572">
        <f>PorL!D32/(BS!D37+BS!D38)</f>
        <v>1.4900830961412044E-2</v>
      </c>
      <c r="E23" s="558">
        <f>PorL!E32/(BS!E37+BS!E38)</f>
        <v>7.5390652482467943E-2</v>
      </c>
      <c r="F23" s="565">
        <f t="shared" ref="F23:F25" si="0">(D23-E23)/E23</f>
        <v>-0.80235174427125133</v>
      </c>
      <c r="G23" s="563"/>
    </row>
    <row r="24" spans="1:7" x14ac:dyDescent="0.25">
      <c r="A24" s="556" t="s">
        <v>622</v>
      </c>
      <c r="B24" s="557" t="s">
        <v>619</v>
      </c>
      <c r="C24" s="557" t="s">
        <v>607</v>
      </c>
      <c r="D24" s="573">
        <f>PorL!D24/(BS!D37+BS!D38)</f>
        <v>1.6041380619280392E-2</v>
      </c>
      <c r="E24" s="558">
        <f>PorL!E24/(BS!E37+BS!E38)</f>
        <v>9.7637132253424172E-2</v>
      </c>
      <c r="F24" s="565">
        <f t="shared" si="0"/>
        <v>-0.83570409895239617</v>
      </c>
      <c r="G24" s="563"/>
    </row>
    <row r="25" spans="1:7" x14ac:dyDescent="0.25">
      <c r="A25" s="556" t="s">
        <v>623</v>
      </c>
      <c r="B25" s="557" t="s">
        <v>621</v>
      </c>
      <c r="C25" s="557" t="s">
        <v>509</v>
      </c>
      <c r="D25" s="573">
        <f>BS!D32/BS!D37</f>
        <v>1.2478177688594973E-2</v>
      </c>
      <c r="E25" s="558">
        <f>BS!E32/BS!E37</f>
        <v>5.8819231487160341E-3</v>
      </c>
      <c r="F25" s="565">
        <f t="shared" si="0"/>
        <v>1.1214452098577379</v>
      </c>
      <c r="G25" s="563"/>
    </row>
    <row r="26" spans="1:7" x14ac:dyDescent="0.25">
      <c r="A26" s="556"/>
      <c r="B26" s="557"/>
      <c r="C26" s="557"/>
      <c r="D26" s="573"/>
      <c r="E26" s="558"/>
      <c r="F26" s="565"/>
      <c r="G26" s="563"/>
    </row>
    <row r="27" spans="1:7" x14ac:dyDescent="0.25">
      <c r="A27" s="556" t="s">
        <v>1058</v>
      </c>
      <c r="B27" s="557" t="s">
        <v>787</v>
      </c>
      <c r="C27" s="557" t="s">
        <v>13</v>
      </c>
      <c r="D27" s="573">
        <f>+'bs Notes'!L37/BS!D18</f>
        <v>0.22030164811034697</v>
      </c>
      <c r="E27" s="574" t="s">
        <v>1060</v>
      </c>
      <c r="F27" s="575" t="s">
        <v>1060</v>
      </c>
      <c r="G27" s="563"/>
    </row>
    <row r="28" spans="1:7" ht="13.8" thickBot="1" x14ac:dyDescent="0.3">
      <c r="A28" s="576"/>
      <c r="B28" s="577"/>
      <c r="C28" s="577"/>
      <c r="D28" s="578"/>
      <c r="E28" s="579"/>
      <c r="F28" s="580"/>
      <c r="G28" s="581"/>
    </row>
    <row r="29" spans="1:7" ht="13.8" thickBot="1" x14ac:dyDescent="0.3">
      <c r="A29" s="576"/>
      <c r="B29" s="577"/>
      <c r="C29" s="577"/>
      <c r="D29" s="582"/>
      <c r="E29" s="582"/>
      <c r="F29" s="582"/>
      <c r="G29" s="581"/>
    </row>
    <row r="30" spans="1:7" x14ac:dyDescent="0.25">
      <c r="A30" s="848" t="s">
        <v>624</v>
      </c>
      <c r="B30" s="848"/>
      <c r="C30" s="848"/>
      <c r="D30" s="848"/>
      <c r="E30" s="848"/>
      <c r="F30" s="848"/>
      <c r="G30" s="848"/>
    </row>
  </sheetData>
  <mergeCells count="2">
    <mergeCell ref="A1:G1"/>
    <mergeCell ref="A30:G3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
  <sheetViews>
    <sheetView workbookViewId="0">
      <selection activeCell="K9" sqref="K9"/>
    </sheetView>
  </sheetViews>
  <sheetFormatPr defaultRowHeight="13.2" x14ac:dyDescent="0.25"/>
  <cols>
    <col min="1" max="1" width="9.44140625" style="585" bestFit="1" customWidth="1"/>
    <col min="2" max="2" width="25.44140625" style="585" customWidth="1"/>
    <col min="3" max="3" width="23" style="585" customWidth="1"/>
    <col min="4" max="4" width="18.5546875" style="628" customWidth="1"/>
    <col min="5" max="5" width="16.44140625" style="585" customWidth="1"/>
    <col min="6" max="6" width="18.33203125" style="585" customWidth="1"/>
    <col min="7" max="7" width="15.44140625" style="585" customWidth="1"/>
    <col min="8" max="8" width="22.33203125" style="628" customWidth="1"/>
    <col min="9" max="9" width="14.44140625" style="585" customWidth="1"/>
    <col min="10" max="255" width="8.6640625" style="585"/>
    <col min="256" max="256" width="6.5546875" style="585" customWidth="1"/>
    <col min="257" max="257" width="8.44140625" style="585" customWidth="1"/>
    <col min="258" max="258" width="8.6640625" style="585"/>
    <col min="259" max="259" width="35.5546875" style="585" customWidth="1"/>
    <col min="260" max="260" width="12" style="585" customWidth="1"/>
    <col min="261" max="261" width="11.44140625" style="585" customWidth="1"/>
    <col min="262" max="262" width="12" style="585" customWidth="1"/>
    <col min="263" max="263" width="12.44140625" style="585" customWidth="1"/>
    <col min="264" max="264" width="8.6640625" style="585"/>
    <col min="265" max="265" width="14.44140625" style="585" customWidth="1"/>
    <col min="266" max="511" width="8.6640625" style="585"/>
    <col min="512" max="512" width="6.5546875" style="585" customWidth="1"/>
    <col min="513" max="513" width="8.44140625" style="585" customWidth="1"/>
    <col min="514" max="514" width="8.6640625" style="585"/>
    <col min="515" max="515" width="35.5546875" style="585" customWidth="1"/>
    <col min="516" max="516" width="12" style="585" customWidth="1"/>
    <col min="517" max="517" width="11.44140625" style="585" customWidth="1"/>
    <col min="518" max="518" width="12" style="585" customWidth="1"/>
    <col min="519" max="519" width="12.44140625" style="585" customWidth="1"/>
    <col min="520" max="520" width="8.6640625" style="585"/>
    <col min="521" max="521" width="14.44140625" style="585" customWidth="1"/>
    <col min="522" max="767" width="8.6640625" style="585"/>
    <col min="768" max="768" width="6.5546875" style="585" customWidth="1"/>
    <col min="769" max="769" width="8.44140625" style="585" customWidth="1"/>
    <col min="770" max="770" width="8.6640625" style="585"/>
    <col min="771" max="771" width="35.5546875" style="585" customWidth="1"/>
    <col min="772" max="772" width="12" style="585" customWidth="1"/>
    <col min="773" max="773" width="11.44140625" style="585" customWidth="1"/>
    <col min="774" max="774" width="12" style="585" customWidth="1"/>
    <col min="775" max="775" width="12.44140625" style="585" customWidth="1"/>
    <col min="776" max="776" width="8.6640625" style="585"/>
    <col min="777" max="777" width="14.44140625" style="585" customWidth="1"/>
    <col min="778" max="1023" width="8.6640625" style="585"/>
    <col min="1024" max="1024" width="6.5546875" style="585" customWidth="1"/>
    <col min="1025" max="1025" width="8.44140625" style="585" customWidth="1"/>
    <col min="1026" max="1026" width="8.6640625" style="585"/>
    <col min="1027" max="1027" width="35.5546875" style="585" customWidth="1"/>
    <col min="1028" max="1028" width="12" style="585" customWidth="1"/>
    <col min="1029" max="1029" width="11.44140625" style="585" customWidth="1"/>
    <col min="1030" max="1030" width="12" style="585" customWidth="1"/>
    <col min="1031" max="1031" width="12.44140625" style="585" customWidth="1"/>
    <col min="1032" max="1032" width="8.6640625" style="585"/>
    <col min="1033" max="1033" width="14.44140625" style="585" customWidth="1"/>
    <col min="1034" max="1279" width="8.6640625" style="585"/>
    <col min="1280" max="1280" width="6.5546875" style="585" customWidth="1"/>
    <col min="1281" max="1281" width="8.44140625" style="585" customWidth="1"/>
    <col min="1282" max="1282" width="8.6640625" style="585"/>
    <col min="1283" max="1283" width="35.5546875" style="585" customWidth="1"/>
    <col min="1284" max="1284" width="12" style="585" customWidth="1"/>
    <col min="1285" max="1285" width="11.44140625" style="585" customWidth="1"/>
    <col min="1286" max="1286" width="12" style="585" customWidth="1"/>
    <col min="1287" max="1287" width="12.44140625" style="585" customWidth="1"/>
    <col min="1288" max="1288" width="8.6640625" style="585"/>
    <col min="1289" max="1289" width="14.44140625" style="585" customWidth="1"/>
    <col min="1290" max="1535" width="8.6640625" style="585"/>
    <col min="1536" max="1536" width="6.5546875" style="585" customWidth="1"/>
    <col min="1537" max="1537" width="8.44140625" style="585" customWidth="1"/>
    <col min="1538" max="1538" width="8.6640625" style="585"/>
    <col min="1539" max="1539" width="35.5546875" style="585" customWidth="1"/>
    <col min="1540" max="1540" width="12" style="585" customWidth="1"/>
    <col min="1541" max="1541" width="11.44140625" style="585" customWidth="1"/>
    <col min="1542" max="1542" width="12" style="585" customWidth="1"/>
    <col min="1543" max="1543" width="12.44140625" style="585" customWidth="1"/>
    <col min="1544" max="1544" width="8.6640625" style="585"/>
    <col min="1545" max="1545" width="14.44140625" style="585" customWidth="1"/>
    <col min="1546" max="1791" width="8.6640625" style="585"/>
    <col min="1792" max="1792" width="6.5546875" style="585" customWidth="1"/>
    <col min="1793" max="1793" width="8.44140625" style="585" customWidth="1"/>
    <col min="1794" max="1794" width="8.6640625" style="585"/>
    <col min="1795" max="1795" width="35.5546875" style="585" customWidth="1"/>
    <col min="1796" max="1796" width="12" style="585" customWidth="1"/>
    <col min="1797" max="1797" width="11.44140625" style="585" customWidth="1"/>
    <col min="1798" max="1798" width="12" style="585" customWidth="1"/>
    <col min="1799" max="1799" width="12.44140625" style="585" customWidth="1"/>
    <col min="1800" max="1800" width="8.6640625" style="585"/>
    <col min="1801" max="1801" width="14.44140625" style="585" customWidth="1"/>
    <col min="1802" max="2047" width="8.6640625" style="585"/>
    <col min="2048" max="2048" width="6.5546875" style="585" customWidth="1"/>
    <col min="2049" max="2049" width="8.44140625" style="585" customWidth="1"/>
    <col min="2050" max="2050" width="8.6640625" style="585"/>
    <col min="2051" max="2051" width="35.5546875" style="585" customWidth="1"/>
    <col min="2052" max="2052" width="12" style="585" customWidth="1"/>
    <col min="2053" max="2053" width="11.44140625" style="585" customWidth="1"/>
    <col min="2054" max="2054" width="12" style="585" customWidth="1"/>
    <col min="2055" max="2055" width="12.44140625" style="585" customWidth="1"/>
    <col min="2056" max="2056" width="8.6640625" style="585"/>
    <col min="2057" max="2057" width="14.44140625" style="585" customWidth="1"/>
    <col min="2058" max="2303" width="8.6640625" style="585"/>
    <col min="2304" max="2304" width="6.5546875" style="585" customWidth="1"/>
    <col min="2305" max="2305" width="8.44140625" style="585" customWidth="1"/>
    <col min="2306" max="2306" width="8.6640625" style="585"/>
    <col min="2307" max="2307" width="35.5546875" style="585" customWidth="1"/>
    <col min="2308" max="2308" width="12" style="585" customWidth="1"/>
    <col min="2309" max="2309" width="11.44140625" style="585" customWidth="1"/>
    <col min="2310" max="2310" width="12" style="585" customWidth="1"/>
    <col min="2311" max="2311" width="12.44140625" style="585" customWidth="1"/>
    <col min="2312" max="2312" width="8.6640625" style="585"/>
    <col min="2313" max="2313" width="14.44140625" style="585" customWidth="1"/>
    <col min="2314" max="2559" width="8.6640625" style="585"/>
    <col min="2560" max="2560" width="6.5546875" style="585" customWidth="1"/>
    <col min="2561" max="2561" width="8.44140625" style="585" customWidth="1"/>
    <col min="2562" max="2562" width="8.6640625" style="585"/>
    <col min="2563" max="2563" width="35.5546875" style="585" customWidth="1"/>
    <col min="2564" max="2564" width="12" style="585" customWidth="1"/>
    <col min="2565" max="2565" width="11.44140625" style="585" customWidth="1"/>
    <col min="2566" max="2566" width="12" style="585" customWidth="1"/>
    <col min="2567" max="2567" width="12.44140625" style="585" customWidth="1"/>
    <col min="2568" max="2568" width="8.6640625" style="585"/>
    <col min="2569" max="2569" width="14.44140625" style="585" customWidth="1"/>
    <col min="2570" max="2815" width="8.6640625" style="585"/>
    <col min="2816" max="2816" width="6.5546875" style="585" customWidth="1"/>
    <col min="2817" max="2817" width="8.44140625" style="585" customWidth="1"/>
    <col min="2818" max="2818" width="8.6640625" style="585"/>
    <col min="2819" max="2819" width="35.5546875" style="585" customWidth="1"/>
    <col min="2820" max="2820" width="12" style="585" customWidth="1"/>
    <col min="2821" max="2821" width="11.44140625" style="585" customWidth="1"/>
    <col min="2822" max="2822" width="12" style="585" customWidth="1"/>
    <col min="2823" max="2823" width="12.44140625" style="585" customWidth="1"/>
    <col min="2824" max="2824" width="8.6640625" style="585"/>
    <col min="2825" max="2825" width="14.44140625" style="585" customWidth="1"/>
    <col min="2826" max="3071" width="8.6640625" style="585"/>
    <col min="3072" max="3072" width="6.5546875" style="585" customWidth="1"/>
    <col min="3073" max="3073" width="8.44140625" style="585" customWidth="1"/>
    <col min="3074" max="3074" width="8.6640625" style="585"/>
    <col min="3075" max="3075" width="35.5546875" style="585" customWidth="1"/>
    <col min="3076" max="3076" width="12" style="585" customWidth="1"/>
    <col min="3077" max="3077" width="11.44140625" style="585" customWidth="1"/>
    <col min="3078" max="3078" width="12" style="585" customWidth="1"/>
    <col min="3079" max="3079" width="12.44140625" style="585" customWidth="1"/>
    <col min="3080" max="3080" width="8.6640625" style="585"/>
    <col min="3081" max="3081" width="14.44140625" style="585" customWidth="1"/>
    <col min="3082" max="3327" width="8.6640625" style="585"/>
    <col min="3328" max="3328" width="6.5546875" style="585" customWidth="1"/>
    <col min="3329" max="3329" width="8.44140625" style="585" customWidth="1"/>
    <col min="3330" max="3330" width="8.6640625" style="585"/>
    <col min="3331" max="3331" width="35.5546875" style="585" customWidth="1"/>
    <col min="3332" max="3332" width="12" style="585" customWidth="1"/>
    <col min="3333" max="3333" width="11.44140625" style="585" customWidth="1"/>
    <col min="3334" max="3334" width="12" style="585" customWidth="1"/>
    <col min="3335" max="3335" width="12.44140625" style="585" customWidth="1"/>
    <col min="3336" max="3336" width="8.6640625" style="585"/>
    <col min="3337" max="3337" width="14.44140625" style="585" customWidth="1"/>
    <col min="3338" max="3583" width="8.6640625" style="585"/>
    <col min="3584" max="3584" width="6.5546875" style="585" customWidth="1"/>
    <col min="3585" max="3585" width="8.44140625" style="585" customWidth="1"/>
    <col min="3586" max="3586" width="8.6640625" style="585"/>
    <col min="3587" max="3587" width="35.5546875" style="585" customWidth="1"/>
    <col min="3588" max="3588" width="12" style="585" customWidth="1"/>
    <col min="3589" max="3589" width="11.44140625" style="585" customWidth="1"/>
    <col min="3590" max="3590" width="12" style="585" customWidth="1"/>
    <col min="3591" max="3591" width="12.44140625" style="585" customWidth="1"/>
    <col min="3592" max="3592" width="8.6640625" style="585"/>
    <col min="3593" max="3593" width="14.44140625" style="585" customWidth="1"/>
    <col min="3594" max="3839" width="8.6640625" style="585"/>
    <col min="3840" max="3840" width="6.5546875" style="585" customWidth="1"/>
    <col min="3841" max="3841" width="8.44140625" style="585" customWidth="1"/>
    <col min="3842" max="3842" width="8.6640625" style="585"/>
    <col min="3843" max="3843" width="35.5546875" style="585" customWidth="1"/>
    <col min="3844" max="3844" width="12" style="585" customWidth="1"/>
    <col min="3845" max="3845" width="11.44140625" style="585" customWidth="1"/>
    <col min="3846" max="3846" width="12" style="585" customWidth="1"/>
    <col min="3847" max="3847" width="12.44140625" style="585" customWidth="1"/>
    <col min="3848" max="3848" width="8.6640625" style="585"/>
    <col min="3849" max="3849" width="14.44140625" style="585" customWidth="1"/>
    <col min="3850" max="4095" width="8.6640625" style="585"/>
    <col min="4096" max="4096" width="6.5546875" style="585" customWidth="1"/>
    <col min="4097" max="4097" width="8.44140625" style="585" customWidth="1"/>
    <col min="4098" max="4098" width="8.6640625" style="585"/>
    <col min="4099" max="4099" width="35.5546875" style="585" customWidth="1"/>
    <col min="4100" max="4100" width="12" style="585" customWidth="1"/>
    <col min="4101" max="4101" width="11.44140625" style="585" customWidth="1"/>
    <col min="4102" max="4102" width="12" style="585" customWidth="1"/>
    <col min="4103" max="4103" width="12.44140625" style="585" customWidth="1"/>
    <col min="4104" max="4104" width="8.6640625" style="585"/>
    <col min="4105" max="4105" width="14.44140625" style="585" customWidth="1"/>
    <col min="4106" max="4351" width="8.6640625" style="585"/>
    <col min="4352" max="4352" width="6.5546875" style="585" customWidth="1"/>
    <col min="4353" max="4353" width="8.44140625" style="585" customWidth="1"/>
    <col min="4354" max="4354" width="8.6640625" style="585"/>
    <col min="4355" max="4355" width="35.5546875" style="585" customWidth="1"/>
    <col min="4356" max="4356" width="12" style="585" customWidth="1"/>
    <col min="4357" max="4357" width="11.44140625" style="585" customWidth="1"/>
    <col min="4358" max="4358" width="12" style="585" customWidth="1"/>
    <col min="4359" max="4359" width="12.44140625" style="585" customWidth="1"/>
    <col min="4360" max="4360" width="8.6640625" style="585"/>
    <col min="4361" max="4361" width="14.44140625" style="585" customWidth="1"/>
    <col min="4362" max="4607" width="8.6640625" style="585"/>
    <col min="4608" max="4608" width="6.5546875" style="585" customWidth="1"/>
    <col min="4609" max="4609" width="8.44140625" style="585" customWidth="1"/>
    <col min="4610" max="4610" width="8.6640625" style="585"/>
    <col min="4611" max="4611" width="35.5546875" style="585" customWidth="1"/>
    <col min="4612" max="4612" width="12" style="585" customWidth="1"/>
    <col min="4613" max="4613" width="11.44140625" style="585" customWidth="1"/>
    <col min="4614" max="4614" width="12" style="585" customWidth="1"/>
    <col min="4615" max="4615" width="12.44140625" style="585" customWidth="1"/>
    <col min="4616" max="4616" width="8.6640625" style="585"/>
    <col min="4617" max="4617" width="14.44140625" style="585" customWidth="1"/>
    <col min="4618" max="4863" width="8.6640625" style="585"/>
    <col min="4864" max="4864" width="6.5546875" style="585" customWidth="1"/>
    <col min="4865" max="4865" width="8.44140625" style="585" customWidth="1"/>
    <col min="4866" max="4866" width="8.6640625" style="585"/>
    <col min="4867" max="4867" width="35.5546875" style="585" customWidth="1"/>
    <col min="4868" max="4868" width="12" style="585" customWidth="1"/>
    <col min="4869" max="4869" width="11.44140625" style="585" customWidth="1"/>
    <col min="4870" max="4870" width="12" style="585" customWidth="1"/>
    <col min="4871" max="4871" width="12.44140625" style="585" customWidth="1"/>
    <col min="4872" max="4872" width="8.6640625" style="585"/>
    <col min="4873" max="4873" width="14.44140625" style="585" customWidth="1"/>
    <col min="4874" max="5119" width="8.6640625" style="585"/>
    <col min="5120" max="5120" width="6.5546875" style="585" customWidth="1"/>
    <col min="5121" max="5121" width="8.44140625" style="585" customWidth="1"/>
    <col min="5122" max="5122" width="8.6640625" style="585"/>
    <col min="5123" max="5123" width="35.5546875" style="585" customWidth="1"/>
    <col min="5124" max="5124" width="12" style="585" customWidth="1"/>
    <col min="5125" max="5125" width="11.44140625" style="585" customWidth="1"/>
    <col min="5126" max="5126" width="12" style="585" customWidth="1"/>
    <col min="5127" max="5127" width="12.44140625" style="585" customWidth="1"/>
    <col min="5128" max="5128" width="8.6640625" style="585"/>
    <col min="5129" max="5129" width="14.44140625" style="585" customWidth="1"/>
    <col min="5130" max="5375" width="8.6640625" style="585"/>
    <col min="5376" max="5376" width="6.5546875" style="585" customWidth="1"/>
    <col min="5377" max="5377" width="8.44140625" style="585" customWidth="1"/>
    <col min="5378" max="5378" width="8.6640625" style="585"/>
    <col min="5379" max="5379" width="35.5546875" style="585" customWidth="1"/>
    <col min="5380" max="5380" width="12" style="585" customWidth="1"/>
    <col min="5381" max="5381" width="11.44140625" style="585" customWidth="1"/>
    <col min="5382" max="5382" width="12" style="585" customWidth="1"/>
    <col min="5383" max="5383" width="12.44140625" style="585" customWidth="1"/>
    <col min="5384" max="5384" width="8.6640625" style="585"/>
    <col min="5385" max="5385" width="14.44140625" style="585" customWidth="1"/>
    <col min="5386" max="5631" width="8.6640625" style="585"/>
    <col min="5632" max="5632" width="6.5546875" style="585" customWidth="1"/>
    <col min="5633" max="5633" width="8.44140625" style="585" customWidth="1"/>
    <col min="5634" max="5634" width="8.6640625" style="585"/>
    <col min="5635" max="5635" width="35.5546875" style="585" customWidth="1"/>
    <col min="5636" max="5636" width="12" style="585" customWidth="1"/>
    <col min="5637" max="5637" width="11.44140625" style="585" customWidth="1"/>
    <col min="5638" max="5638" width="12" style="585" customWidth="1"/>
    <col min="5639" max="5639" width="12.44140625" style="585" customWidth="1"/>
    <col min="5640" max="5640" width="8.6640625" style="585"/>
    <col min="5641" max="5641" width="14.44140625" style="585" customWidth="1"/>
    <col min="5642" max="5887" width="8.6640625" style="585"/>
    <col min="5888" max="5888" width="6.5546875" style="585" customWidth="1"/>
    <col min="5889" max="5889" width="8.44140625" style="585" customWidth="1"/>
    <col min="5890" max="5890" width="8.6640625" style="585"/>
    <col min="5891" max="5891" width="35.5546875" style="585" customWidth="1"/>
    <col min="5892" max="5892" width="12" style="585" customWidth="1"/>
    <col min="5893" max="5893" width="11.44140625" style="585" customWidth="1"/>
    <col min="5894" max="5894" width="12" style="585" customWidth="1"/>
    <col min="5895" max="5895" width="12.44140625" style="585" customWidth="1"/>
    <col min="5896" max="5896" width="8.6640625" style="585"/>
    <col min="5897" max="5897" width="14.44140625" style="585" customWidth="1"/>
    <col min="5898" max="6143" width="8.6640625" style="585"/>
    <col min="6144" max="6144" width="6.5546875" style="585" customWidth="1"/>
    <col min="6145" max="6145" width="8.44140625" style="585" customWidth="1"/>
    <col min="6146" max="6146" width="8.6640625" style="585"/>
    <col min="6147" max="6147" width="35.5546875" style="585" customWidth="1"/>
    <col min="6148" max="6148" width="12" style="585" customWidth="1"/>
    <col min="6149" max="6149" width="11.44140625" style="585" customWidth="1"/>
    <col min="6150" max="6150" width="12" style="585" customWidth="1"/>
    <col min="6151" max="6151" width="12.44140625" style="585" customWidth="1"/>
    <col min="6152" max="6152" width="8.6640625" style="585"/>
    <col min="6153" max="6153" width="14.44140625" style="585" customWidth="1"/>
    <col min="6154" max="6399" width="8.6640625" style="585"/>
    <col min="6400" max="6400" width="6.5546875" style="585" customWidth="1"/>
    <col min="6401" max="6401" width="8.44140625" style="585" customWidth="1"/>
    <col min="6402" max="6402" width="8.6640625" style="585"/>
    <col min="6403" max="6403" width="35.5546875" style="585" customWidth="1"/>
    <col min="6404" max="6404" width="12" style="585" customWidth="1"/>
    <col min="6405" max="6405" width="11.44140625" style="585" customWidth="1"/>
    <col min="6406" max="6406" width="12" style="585" customWidth="1"/>
    <col min="6407" max="6407" width="12.44140625" style="585" customWidth="1"/>
    <col min="6408" max="6408" width="8.6640625" style="585"/>
    <col min="6409" max="6409" width="14.44140625" style="585" customWidth="1"/>
    <col min="6410" max="6655" width="8.6640625" style="585"/>
    <col min="6656" max="6656" width="6.5546875" style="585" customWidth="1"/>
    <col min="6657" max="6657" width="8.44140625" style="585" customWidth="1"/>
    <col min="6658" max="6658" width="8.6640625" style="585"/>
    <col min="6659" max="6659" width="35.5546875" style="585" customWidth="1"/>
    <col min="6660" max="6660" width="12" style="585" customWidth="1"/>
    <col min="6661" max="6661" width="11.44140625" style="585" customWidth="1"/>
    <col min="6662" max="6662" width="12" style="585" customWidth="1"/>
    <col min="6663" max="6663" width="12.44140625" style="585" customWidth="1"/>
    <col min="6664" max="6664" width="8.6640625" style="585"/>
    <col min="6665" max="6665" width="14.44140625" style="585" customWidth="1"/>
    <col min="6666" max="6911" width="8.6640625" style="585"/>
    <col min="6912" max="6912" width="6.5546875" style="585" customWidth="1"/>
    <col min="6913" max="6913" width="8.44140625" style="585" customWidth="1"/>
    <col min="6914" max="6914" width="8.6640625" style="585"/>
    <col min="6915" max="6915" width="35.5546875" style="585" customWidth="1"/>
    <col min="6916" max="6916" width="12" style="585" customWidth="1"/>
    <col min="6917" max="6917" width="11.44140625" style="585" customWidth="1"/>
    <col min="6918" max="6918" width="12" style="585" customWidth="1"/>
    <col min="6919" max="6919" width="12.44140625" style="585" customWidth="1"/>
    <col min="6920" max="6920" width="8.6640625" style="585"/>
    <col min="6921" max="6921" width="14.44140625" style="585" customWidth="1"/>
    <col min="6922" max="7167" width="8.6640625" style="585"/>
    <col min="7168" max="7168" width="6.5546875" style="585" customWidth="1"/>
    <col min="7169" max="7169" width="8.44140625" style="585" customWidth="1"/>
    <col min="7170" max="7170" width="8.6640625" style="585"/>
    <col min="7171" max="7171" width="35.5546875" style="585" customWidth="1"/>
    <col min="7172" max="7172" width="12" style="585" customWidth="1"/>
    <col min="7173" max="7173" width="11.44140625" style="585" customWidth="1"/>
    <col min="7174" max="7174" width="12" style="585" customWidth="1"/>
    <col min="7175" max="7175" width="12.44140625" style="585" customWidth="1"/>
    <col min="7176" max="7176" width="8.6640625" style="585"/>
    <col min="7177" max="7177" width="14.44140625" style="585" customWidth="1"/>
    <col min="7178" max="7423" width="8.6640625" style="585"/>
    <col min="7424" max="7424" width="6.5546875" style="585" customWidth="1"/>
    <col min="7425" max="7425" width="8.44140625" style="585" customWidth="1"/>
    <col min="7426" max="7426" width="8.6640625" style="585"/>
    <col min="7427" max="7427" width="35.5546875" style="585" customWidth="1"/>
    <col min="7428" max="7428" width="12" style="585" customWidth="1"/>
    <col min="7429" max="7429" width="11.44140625" style="585" customWidth="1"/>
    <col min="7430" max="7430" width="12" style="585" customWidth="1"/>
    <col min="7431" max="7431" width="12.44140625" style="585" customWidth="1"/>
    <col min="7432" max="7432" width="8.6640625" style="585"/>
    <col min="7433" max="7433" width="14.44140625" style="585" customWidth="1"/>
    <col min="7434" max="7679" width="8.6640625" style="585"/>
    <col min="7680" max="7680" width="6.5546875" style="585" customWidth="1"/>
    <col min="7681" max="7681" width="8.44140625" style="585" customWidth="1"/>
    <col min="7682" max="7682" width="8.6640625" style="585"/>
    <col min="7683" max="7683" width="35.5546875" style="585" customWidth="1"/>
    <col min="7684" max="7684" width="12" style="585" customWidth="1"/>
    <col min="7685" max="7685" width="11.44140625" style="585" customWidth="1"/>
    <col min="7686" max="7686" width="12" style="585" customWidth="1"/>
    <col min="7687" max="7687" width="12.44140625" style="585" customWidth="1"/>
    <col min="7688" max="7688" width="8.6640625" style="585"/>
    <col min="7689" max="7689" width="14.44140625" style="585" customWidth="1"/>
    <col min="7690" max="7935" width="8.6640625" style="585"/>
    <col min="7936" max="7936" width="6.5546875" style="585" customWidth="1"/>
    <col min="7937" max="7937" width="8.44140625" style="585" customWidth="1"/>
    <col min="7938" max="7938" width="8.6640625" style="585"/>
    <col min="7939" max="7939" width="35.5546875" style="585" customWidth="1"/>
    <col min="7940" max="7940" width="12" style="585" customWidth="1"/>
    <col min="7941" max="7941" width="11.44140625" style="585" customWidth="1"/>
    <col min="7942" max="7942" width="12" style="585" customWidth="1"/>
    <col min="7943" max="7943" width="12.44140625" style="585" customWidth="1"/>
    <col min="7944" max="7944" width="8.6640625" style="585"/>
    <col min="7945" max="7945" width="14.44140625" style="585" customWidth="1"/>
    <col min="7946" max="8191" width="8.6640625" style="585"/>
    <col min="8192" max="8192" width="6.5546875" style="585" customWidth="1"/>
    <col min="8193" max="8193" width="8.44140625" style="585" customWidth="1"/>
    <col min="8194" max="8194" width="8.6640625" style="585"/>
    <col min="8195" max="8195" width="35.5546875" style="585" customWidth="1"/>
    <col min="8196" max="8196" width="12" style="585" customWidth="1"/>
    <col min="8197" max="8197" width="11.44140625" style="585" customWidth="1"/>
    <col min="8198" max="8198" width="12" style="585" customWidth="1"/>
    <col min="8199" max="8199" width="12.44140625" style="585" customWidth="1"/>
    <col min="8200" max="8200" width="8.6640625" style="585"/>
    <col min="8201" max="8201" width="14.44140625" style="585" customWidth="1"/>
    <col min="8202" max="8447" width="8.6640625" style="585"/>
    <col min="8448" max="8448" width="6.5546875" style="585" customWidth="1"/>
    <col min="8449" max="8449" width="8.44140625" style="585" customWidth="1"/>
    <col min="8450" max="8450" width="8.6640625" style="585"/>
    <col min="8451" max="8451" width="35.5546875" style="585" customWidth="1"/>
    <col min="8452" max="8452" width="12" style="585" customWidth="1"/>
    <col min="8453" max="8453" width="11.44140625" style="585" customWidth="1"/>
    <col min="8454" max="8454" width="12" style="585" customWidth="1"/>
    <col min="8455" max="8455" width="12.44140625" style="585" customWidth="1"/>
    <col min="8456" max="8456" width="8.6640625" style="585"/>
    <col min="8457" max="8457" width="14.44140625" style="585" customWidth="1"/>
    <col min="8458" max="8703" width="8.6640625" style="585"/>
    <col min="8704" max="8704" width="6.5546875" style="585" customWidth="1"/>
    <col min="8705" max="8705" width="8.44140625" style="585" customWidth="1"/>
    <col min="8706" max="8706" width="8.6640625" style="585"/>
    <col min="8707" max="8707" width="35.5546875" style="585" customWidth="1"/>
    <col min="8708" max="8708" width="12" style="585" customWidth="1"/>
    <col min="8709" max="8709" width="11.44140625" style="585" customWidth="1"/>
    <col min="8710" max="8710" width="12" style="585" customWidth="1"/>
    <col min="8711" max="8711" width="12.44140625" style="585" customWidth="1"/>
    <col min="8712" max="8712" width="8.6640625" style="585"/>
    <col min="8713" max="8713" width="14.44140625" style="585" customWidth="1"/>
    <col min="8714" max="8959" width="8.6640625" style="585"/>
    <col min="8960" max="8960" width="6.5546875" style="585" customWidth="1"/>
    <col min="8961" max="8961" width="8.44140625" style="585" customWidth="1"/>
    <col min="8962" max="8962" width="8.6640625" style="585"/>
    <col min="8963" max="8963" width="35.5546875" style="585" customWidth="1"/>
    <col min="8964" max="8964" width="12" style="585" customWidth="1"/>
    <col min="8965" max="8965" width="11.44140625" style="585" customWidth="1"/>
    <col min="8966" max="8966" width="12" style="585" customWidth="1"/>
    <col min="8967" max="8967" width="12.44140625" style="585" customWidth="1"/>
    <col min="8968" max="8968" width="8.6640625" style="585"/>
    <col min="8969" max="8969" width="14.44140625" style="585" customWidth="1"/>
    <col min="8970" max="9215" width="8.6640625" style="585"/>
    <col min="9216" max="9216" width="6.5546875" style="585" customWidth="1"/>
    <col min="9217" max="9217" width="8.44140625" style="585" customWidth="1"/>
    <col min="9218" max="9218" width="8.6640625" style="585"/>
    <col min="9219" max="9219" width="35.5546875" style="585" customWidth="1"/>
    <col min="9220" max="9220" width="12" style="585" customWidth="1"/>
    <col min="9221" max="9221" width="11.44140625" style="585" customWidth="1"/>
    <col min="9222" max="9222" width="12" style="585" customWidth="1"/>
    <col min="9223" max="9223" width="12.44140625" style="585" customWidth="1"/>
    <col min="9224" max="9224" width="8.6640625" style="585"/>
    <col min="9225" max="9225" width="14.44140625" style="585" customWidth="1"/>
    <col min="9226" max="9471" width="8.6640625" style="585"/>
    <col min="9472" max="9472" width="6.5546875" style="585" customWidth="1"/>
    <col min="9473" max="9473" width="8.44140625" style="585" customWidth="1"/>
    <col min="9474" max="9474" width="8.6640625" style="585"/>
    <col min="9475" max="9475" width="35.5546875" style="585" customWidth="1"/>
    <col min="9476" max="9476" width="12" style="585" customWidth="1"/>
    <col min="9477" max="9477" width="11.44140625" style="585" customWidth="1"/>
    <col min="9478" max="9478" width="12" style="585" customWidth="1"/>
    <col min="9479" max="9479" width="12.44140625" style="585" customWidth="1"/>
    <col min="9480" max="9480" width="8.6640625" style="585"/>
    <col min="9481" max="9481" width="14.44140625" style="585" customWidth="1"/>
    <col min="9482" max="9727" width="8.6640625" style="585"/>
    <col min="9728" max="9728" width="6.5546875" style="585" customWidth="1"/>
    <col min="9729" max="9729" width="8.44140625" style="585" customWidth="1"/>
    <col min="9730" max="9730" width="8.6640625" style="585"/>
    <col min="9731" max="9731" width="35.5546875" style="585" customWidth="1"/>
    <col min="9732" max="9732" width="12" style="585" customWidth="1"/>
    <col min="9733" max="9733" width="11.44140625" style="585" customWidth="1"/>
    <col min="9734" max="9734" width="12" style="585" customWidth="1"/>
    <col min="9735" max="9735" width="12.44140625" style="585" customWidth="1"/>
    <col min="9736" max="9736" width="8.6640625" style="585"/>
    <col min="9737" max="9737" width="14.44140625" style="585" customWidth="1"/>
    <col min="9738" max="9983" width="8.6640625" style="585"/>
    <col min="9984" max="9984" width="6.5546875" style="585" customWidth="1"/>
    <col min="9985" max="9985" width="8.44140625" style="585" customWidth="1"/>
    <col min="9986" max="9986" width="8.6640625" style="585"/>
    <col min="9987" max="9987" width="35.5546875" style="585" customWidth="1"/>
    <col min="9988" max="9988" width="12" style="585" customWidth="1"/>
    <col min="9989" max="9989" width="11.44140625" style="585" customWidth="1"/>
    <col min="9990" max="9990" width="12" style="585" customWidth="1"/>
    <col min="9991" max="9991" width="12.44140625" style="585" customWidth="1"/>
    <col min="9992" max="9992" width="8.6640625" style="585"/>
    <col min="9993" max="9993" width="14.44140625" style="585" customWidth="1"/>
    <col min="9994" max="10239" width="8.6640625" style="585"/>
    <col min="10240" max="10240" width="6.5546875" style="585" customWidth="1"/>
    <col min="10241" max="10241" width="8.44140625" style="585" customWidth="1"/>
    <col min="10242" max="10242" width="8.6640625" style="585"/>
    <col min="10243" max="10243" width="35.5546875" style="585" customWidth="1"/>
    <col min="10244" max="10244" width="12" style="585" customWidth="1"/>
    <col min="10245" max="10245" width="11.44140625" style="585" customWidth="1"/>
    <col min="10246" max="10246" width="12" style="585" customWidth="1"/>
    <col min="10247" max="10247" width="12.44140625" style="585" customWidth="1"/>
    <col min="10248" max="10248" width="8.6640625" style="585"/>
    <col min="10249" max="10249" width="14.44140625" style="585" customWidth="1"/>
    <col min="10250" max="10495" width="8.6640625" style="585"/>
    <col min="10496" max="10496" width="6.5546875" style="585" customWidth="1"/>
    <col min="10497" max="10497" width="8.44140625" style="585" customWidth="1"/>
    <col min="10498" max="10498" width="8.6640625" style="585"/>
    <col min="10499" max="10499" width="35.5546875" style="585" customWidth="1"/>
    <col min="10500" max="10500" width="12" style="585" customWidth="1"/>
    <col min="10501" max="10501" width="11.44140625" style="585" customWidth="1"/>
    <col min="10502" max="10502" width="12" style="585" customWidth="1"/>
    <col min="10503" max="10503" width="12.44140625" style="585" customWidth="1"/>
    <col min="10504" max="10504" width="8.6640625" style="585"/>
    <col min="10505" max="10505" width="14.44140625" style="585" customWidth="1"/>
    <col min="10506" max="10751" width="8.6640625" style="585"/>
    <col min="10752" max="10752" width="6.5546875" style="585" customWidth="1"/>
    <col min="10753" max="10753" width="8.44140625" style="585" customWidth="1"/>
    <col min="10754" max="10754" width="8.6640625" style="585"/>
    <col min="10755" max="10755" width="35.5546875" style="585" customWidth="1"/>
    <col min="10756" max="10756" width="12" style="585" customWidth="1"/>
    <col min="10757" max="10757" width="11.44140625" style="585" customWidth="1"/>
    <col min="10758" max="10758" width="12" style="585" customWidth="1"/>
    <col min="10759" max="10759" width="12.44140625" style="585" customWidth="1"/>
    <col min="10760" max="10760" width="8.6640625" style="585"/>
    <col min="10761" max="10761" width="14.44140625" style="585" customWidth="1"/>
    <col min="10762" max="11007" width="8.6640625" style="585"/>
    <col min="11008" max="11008" width="6.5546875" style="585" customWidth="1"/>
    <col min="11009" max="11009" width="8.44140625" style="585" customWidth="1"/>
    <col min="11010" max="11010" width="8.6640625" style="585"/>
    <col min="11011" max="11011" width="35.5546875" style="585" customWidth="1"/>
    <col min="11012" max="11012" width="12" style="585" customWidth="1"/>
    <col min="11013" max="11013" width="11.44140625" style="585" customWidth="1"/>
    <col min="11014" max="11014" width="12" style="585" customWidth="1"/>
    <col min="11015" max="11015" width="12.44140625" style="585" customWidth="1"/>
    <col min="11016" max="11016" width="8.6640625" style="585"/>
    <col min="11017" max="11017" width="14.44140625" style="585" customWidth="1"/>
    <col min="11018" max="11263" width="8.6640625" style="585"/>
    <col min="11264" max="11264" width="6.5546875" style="585" customWidth="1"/>
    <col min="11265" max="11265" width="8.44140625" style="585" customWidth="1"/>
    <col min="11266" max="11266" width="8.6640625" style="585"/>
    <col min="11267" max="11267" width="35.5546875" style="585" customWidth="1"/>
    <col min="11268" max="11268" width="12" style="585" customWidth="1"/>
    <col min="11269" max="11269" width="11.44140625" style="585" customWidth="1"/>
    <col min="11270" max="11270" width="12" style="585" customWidth="1"/>
    <col min="11271" max="11271" width="12.44140625" style="585" customWidth="1"/>
    <col min="11272" max="11272" width="8.6640625" style="585"/>
    <col min="11273" max="11273" width="14.44140625" style="585" customWidth="1"/>
    <col min="11274" max="11519" width="8.6640625" style="585"/>
    <col min="11520" max="11520" width="6.5546875" style="585" customWidth="1"/>
    <col min="11521" max="11521" width="8.44140625" style="585" customWidth="1"/>
    <col min="11522" max="11522" width="8.6640625" style="585"/>
    <col min="11523" max="11523" width="35.5546875" style="585" customWidth="1"/>
    <col min="11524" max="11524" width="12" style="585" customWidth="1"/>
    <col min="11525" max="11525" width="11.44140625" style="585" customWidth="1"/>
    <col min="11526" max="11526" width="12" style="585" customWidth="1"/>
    <col min="11527" max="11527" width="12.44140625" style="585" customWidth="1"/>
    <col min="11528" max="11528" width="8.6640625" style="585"/>
    <col min="11529" max="11529" width="14.44140625" style="585" customWidth="1"/>
    <col min="11530" max="11775" width="8.6640625" style="585"/>
    <col min="11776" max="11776" width="6.5546875" style="585" customWidth="1"/>
    <col min="11777" max="11777" width="8.44140625" style="585" customWidth="1"/>
    <col min="11778" max="11778" width="8.6640625" style="585"/>
    <col min="11779" max="11779" width="35.5546875" style="585" customWidth="1"/>
    <col min="11780" max="11780" width="12" style="585" customWidth="1"/>
    <col min="11781" max="11781" width="11.44140625" style="585" customWidth="1"/>
    <col min="11782" max="11782" width="12" style="585" customWidth="1"/>
    <col min="11783" max="11783" width="12.44140625" style="585" customWidth="1"/>
    <col min="11784" max="11784" width="8.6640625" style="585"/>
    <col min="11785" max="11785" width="14.44140625" style="585" customWidth="1"/>
    <col min="11786" max="12031" width="8.6640625" style="585"/>
    <col min="12032" max="12032" width="6.5546875" style="585" customWidth="1"/>
    <col min="12033" max="12033" width="8.44140625" style="585" customWidth="1"/>
    <col min="12034" max="12034" width="8.6640625" style="585"/>
    <col min="12035" max="12035" width="35.5546875" style="585" customWidth="1"/>
    <col min="12036" max="12036" width="12" style="585" customWidth="1"/>
    <col min="12037" max="12037" width="11.44140625" style="585" customWidth="1"/>
    <col min="12038" max="12038" width="12" style="585" customWidth="1"/>
    <col min="12039" max="12039" width="12.44140625" style="585" customWidth="1"/>
    <col min="12040" max="12040" width="8.6640625" style="585"/>
    <col min="12041" max="12041" width="14.44140625" style="585" customWidth="1"/>
    <col min="12042" max="12287" width="8.6640625" style="585"/>
    <col min="12288" max="12288" width="6.5546875" style="585" customWidth="1"/>
    <col min="12289" max="12289" width="8.44140625" style="585" customWidth="1"/>
    <col min="12290" max="12290" width="8.6640625" style="585"/>
    <col min="12291" max="12291" width="35.5546875" style="585" customWidth="1"/>
    <col min="12292" max="12292" width="12" style="585" customWidth="1"/>
    <col min="12293" max="12293" width="11.44140625" style="585" customWidth="1"/>
    <col min="12294" max="12294" width="12" style="585" customWidth="1"/>
    <col min="12295" max="12295" width="12.44140625" style="585" customWidth="1"/>
    <col min="12296" max="12296" width="8.6640625" style="585"/>
    <col min="12297" max="12297" width="14.44140625" style="585" customWidth="1"/>
    <col min="12298" max="12543" width="8.6640625" style="585"/>
    <col min="12544" max="12544" width="6.5546875" style="585" customWidth="1"/>
    <col min="12545" max="12545" width="8.44140625" style="585" customWidth="1"/>
    <col min="12546" max="12546" width="8.6640625" style="585"/>
    <col min="12547" max="12547" width="35.5546875" style="585" customWidth="1"/>
    <col min="12548" max="12548" width="12" style="585" customWidth="1"/>
    <col min="12549" max="12549" width="11.44140625" style="585" customWidth="1"/>
    <col min="12550" max="12550" width="12" style="585" customWidth="1"/>
    <col min="12551" max="12551" width="12.44140625" style="585" customWidth="1"/>
    <col min="12552" max="12552" width="8.6640625" style="585"/>
    <col min="12553" max="12553" width="14.44140625" style="585" customWidth="1"/>
    <col min="12554" max="12799" width="8.6640625" style="585"/>
    <col min="12800" max="12800" width="6.5546875" style="585" customWidth="1"/>
    <col min="12801" max="12801" width="8.44140625" style="585" customWidth="1"/>
    <col min="12802" max="12802" width="8.6640625" style="585"/>
    <col min="12803" max="12803" width="35.5546875" style="585" customWidth="1"/>
    <col min="12804" max="12804" width="12" style="585" customWidth="1"/>
    <col min="12805" max="12805" width="11.44140625" style="585" customWidth="1"/>
    <col min="12806" max="12806" width="12" style="585" customWidth="1"/>
    <col min="12807" max="12807" width="12.44140625" style="585" customWidth="1"/>
    <col min="12808" max="12808" width="8.6640625" style="585"/>
    <col min="12809" max="12809" width="14.44140625" style="585" customWidth="1"/>
    <col min="12810" max="13055" width="8.6640625" style="585"/>
    <col min="13056" max="13056" width="6.5546875" style="585" customWidth="1"/>
    <col min="13057" max="13057" width="8.44140625" style="585" customWidth="1"/>
    <col min="13058" max="13058" width="8.6640625" style="585"/>
    <col min="13059" max="13059" width="35.5546875" style="585" customWidth="1"/>
    <col min="13060" max="13060" width="12" style="585" customWidth="1"/>
    <col min="13061" max="13061" width="11.44140625" style="585" customWidth="1"/>
    <col min="13062" max="13062" width="12" style="585" customWidth="1"/>
    <col min="13063" max="13063" width="12.44140625" style="585" customWidth="1"/>
    <col min="13064" max="13064" width="8.6640625" style="585"/>
    <col min="13065" max="13065" width="14.44140625" style="585" customWidth="1"/>
    <col min="13066" max="13311" width="8.6640625" style="585"/>
    <col min="13312" max="13312" width="6.5546875" style="585" customWidth="1"/>
    <col min="13313" max="13313" width="8.44140625" style="585" customWidth="1"/>
    <col min="13314" max="13314" width="8.6640625" style="585"/>
    <col min="13315" max="13315" width="35.5546875" style="585" customWidth="1"/>
    <col min="13316" max="13316" width="12" style="585" customWidth="1"/>
    <col min="13317" max="13317" width="11.44140625" style="585" customWidth="1"/>
    <col min="13318" max="13318" width="12" style="585" customWidth="1"/>
    <col min="13319" max="13319" width="12.44140625" style="585" customWidth="1"/>
    <col min="13320" max="13320" width="8.6640625" style="585"/>
    <col min="13321" max="13321" width="14.44140625" style="585" customWidth="1"/>
    <col min="13322" max="13567" width="8.6640625" style="585"/>
    <col min="13568" max="13568" width="6.5546875" style="585" customWidth="1"/>
    <col min="13569" max="13569" width="8.44140625" style="585" customWidth="1"/>
    <col min="13570" max="13570" width="8.6640625" style="585"/>
    <col min="13571" max="13571" width="35.5546875" style="585" customWidth="1"/>
    <col min="13572" max="13572" width="12" style="585" customWidth="1"/>
    <col min="13573" max="13573" width="11.44140625" style="585" customWidth="1"/>
    <col min="13574" max="13574" width="12" style="585" customWidth="1"/>
    <col min="13575" max="13575" width="12.44140625" style="585" customWidth="1"/>
    <col min="13576" max="13576" width="8.6640625" style="585"/>
    <col min="13577" max="13577" width="14.44140625" style="585" customWidth="1"/>
    <col min="13578" max="13823" width="8.6640625" style="585"/>
    <col min="13824" max="13824" width="6.5546875" style="585" customWidth="1"/>
    <col min="13825" max="13825" width="8.44140625" style="585" customWidth="1"/>
    <col min="13826" max="13826" width="8.6640625" style="585"/>
    <col min="13827" max="13827" width="35.5546875" style="585" customWidth="1"/>
    <col min="13828" max="13828" width="12" style="585" customWidth="1"/>
    <col min="13829" max="13829" width="11.44140625" style="585" customWidth="1"/>
    <col min="13830" max="13830" width="12" style="585" customWidth="1"/>
    <col min="13831" max="13831" width="12.44140625" style="585" customWidth="1"/>
    <col min="13832" max="13832" width="8.6640625" style="585"/>
    <col min="13833" max="13833" width="14.44140625" style="585" customWidth="1"/>
    <col min="13834" max="14079" width="8.6640625" style="585"/>
    <col min="14080" max="14080" width="6.5546875" style="585" customWidth="1"/>
    <col min="14081" max="14081" width="8.44140625" style="585" customWidth="1"/>
    <col min="14082" max="14082" width="8.6640625" style="585"/>
    <col min="14083" max="14083" width="35.5546875" style="585" customWidth="1"/>
    <col min="14084" max="14084" width="12" style="585" customWidth="1"/>
    <col min="14085" max="14085" width="11.44140625" style="585" customWidth="1"/>
    <col min="14086" max="14086" width="12" style="585" customWidth="1"/>
    <col min="14087" max="14087" width="12.44140625" style="585" customWidth="1"/>
    <col min="14088" max="14088" width="8.6640625" style="585"/>
    <col min="14089" max="14089" width="14.44140625" style="585" customWidth="1"/>
    <col min="14090" max="14335" width="8.6640625" style="585"/>
    <col min="14336" max="14336" width="6.5546875" style="585" customWidth="1"/>
    <col min="14337" max="14337" width="8.44140625" style="585" customWidth="1"/>
    <col min="14338" max="14338" width="8.6640625" style="585"/>
    <col min="14339" max="14339" width="35.5546875" style="585" customWidth="1"/>
    <col min="14340" max="14340" width="12" style="585" customWidth="1"/>
    <col min="14341" max="14341" width="11.44140625" style="585" customWidth="1"/>
    <col min="14342" max="14342" width="12" style="585" customWidth="1"/>
    <col min="14343" max="14343" width="12.44140625" style="585" customWidth="1"/>
    <col min="14344" max="14344" width="8.6640625" style="585"/>
    <col min="14345" max="14345" width="14.44140625" style="585" customWidth="1"/>
    <col min="14346" max="14591" width="8.6640625" style="585"/>
    <col min="14592" max="14592" width="6.5546875" style="585" customWidth="1"/>
    <col min="14593" max="14593" width="8.44140625" style="585" customWidth="1"/>
    <col min="14594" max="14594" width="8.6640625" style="585"/>
    <col min="14595" max="14595" width="35.5546875" style="585" customWidth="1"/>
    <col min="14596" max="14596" width="12" style="585" customWidth="1"/>
    <col min="14597" max="14597" width="11.44140625" style="585" customWidth="1"/>
    <col min="14598" max="14598" width="12" style="585" customWidth="1"/>
    <col min="14599" max="14599" width="12.44140625" style="585" customWidth="1"/>
    <col min="14600" max="14600" width="8.6640625" style="585"/>
    <col min="14601" max="14601" width="14.44140625" style="585" customWidth="1"/>
    <col min="14602" max="14847" width="8.6640625" style="585"/>
    <col min="14848" max="14848" width="6.5546875" style="585" customWidth="1"/>
    <col min="14849" max="14849" width="8.44140625" style="585" customWidth="1"/>
    <col min="14850" max="14850" width="8.6640625" style="585"/>
    <col min="14851" max="14851" width="35.5546875" style="585" customWidth="1"/>
    <col min="14852" max="14852" width="12" style="585" customWidth="1"/>
    <col min="14853" max="14853" width="11.44140625" style="585" customWidth="1"/>
    <col min="14854" max="14854" width="12" style="585" customWidth="1"/>
    <col min="14855" max="14855" width="12.44140625" style="585" customWidth="1"/>
    <col min="14856" max="14856" width="8.6640625" style="585"/>
    <col min="14857" max="14857" width="14.44140625" style="585" customWidth="1"/>
    <col min="14858" max="15103" width="8.6640625" style="585"/>
    <col min="15104" max="15104" width="6.5546875" style="585" customWidth="1"/>
    <col min="15105" max="15105" width="8.44140625" style="585" customWidth="1"/>
    <col min="15106" max="15106" width="8.6640625" style="585"/>
    <col min="15107" max="15107" width="35.5546875" style="585" customWidth="1"/>
    <col min="15108" max="15108" width="12" style="585" customWidth="1"/>
    <col min="15109" max="15109" width="11.44140625" style="585" customWidth="1"/>
    <col min="15110" max="15110" width="12" style="585" customWidth="1"/>
    <col min="15111" max="15111" width="12.44140625" style="585" customWidth="1"/>
    <col min="15112" max="15112" width="8.6640625" style="585"/>
    <col min="15113" max="15113" width="14.44140625" style="585" customWidth="1"/>
    <col min="15114" max="15359" width="8.6640625" style="585"/>
    <col min="15360" max="15360" width="6.5546875" style="585" customWidth="1"/>
    <col min="15361" max="15361" width="8.44140625" style="585" customWidth="1"/>
    <col min="15362" max="15362" width="8.6640625" style="585"/>
    <col min="15363" max="15363" width="35.5546875" style="585" customWidth="1"/>
    <col min="15364" max="15364" width="12" style="585" customWidth="1"/>
    <col min="15365" max="15365" width="11.44140625" style="585" customWidth="1"/>
    <col min="15366" max="15366" width="12" style="585" customWidth="1"/>
    <col min="15367" max="15367" width="12.44140625" style="585" customWidth="1"/>
    <col min="15368" max="15368" width="8.6640625" style="585"/>
    <col min="15369" max="15369" width="14.44140625" style="585" customWidth="1"/>
    <col min="15370" max="15615" width="8.6640625" style="585"/>
    <col min="15616" max="15616" width="6.5546875" style="585" customWidth="1"/>
    <col min="15617" max="15617" width="8.44140625" style="585" customWidth="1"/>
    <col min="15618" max="15618" width="8.6640625" style="585"/>
    <col min="15619" max="15619" width="35.5546875" style="585" customWidth="1"/>
    <col min="15620" max="15620" width="12" style="585" customWidth="1"/>
    <col min="15621" max="15621" width="11.44140625" style="585" customWidth="1"/>
    <col min="15622" max="15622" width="12" style="585" customWidth="1"/>
    <col min="15623" max="15623" width="12.44140625" style="585" customWidth="1"/>
    <col min="15624" max="15624" width="8.6640625" style="585"/>
    <col min="15625" max="15625" width="14.44140625" style="585" customWidth="1"/>
    <col min="15626" max="15871" width="8.6640625" style="585"/>
    <col min="15872" max="15872" width="6.5546875" style="585" customWidth="1"/>
    <col min="15873" max="15873" width="8.44140625" style="585" customWidth="1"/>
    <col min="15874" max="15874" width="8.6640625" style="585"/>
    <col min="15875" max="15875" width="35.5546875" style="585" customWidth="1"/>
    <col min="15876" max="15876" width="12" style="585" customWidth="1"/>
    <col min="15877" max="15877" width="11.44140625" style="585" customWidth="1"/>
    <col min="15878" max="15878" width="12" style="585" customWidth="1"/>
    <col min="15879" max="15879" width="12.44140625" style="585" customWidth="1"/>
    <col min="15880" max="15880" width="8.6640625" style="585"/>
    <col min="15881" max="15881" width="14.44140625" style="585" customWidth="1"/>
    <col min="15882" max="16127" width="8.6640625" style="585"/>
    <col min="16128" max="16128" width="6.5546875" style="585" customWidth="1"/>
    <col min="16129" max="16129" width="8.44140625" style="585" customWidth="1"/>
    <col min="16130" max="16130" width="8.6640625" style="585"/>
    <col min="16131" max="16131" width="35.5546875" style="585" customWidth="1"/>
    <col min="16132" max="16132" width="12" style="585" customWidth="1"/>
    <col min="16133" max="16133" width="11.44140625" style="585" customWidth="1"/>
    <col min="16134" max="16134" width="12" style="585" customWidth="1"/>
    <col min="16135" max="16135" width="12.44140625" style="585" customWidth="1"/>
    <col min="16136" max="16136" width="8.6640625" style="585"/>
    <col min="16137" max="16137" width="14.44140625" style="585" customWidth="1"/>
    <col min="16138" max="16383" width="8.6640625" style="585"/>
    <col min="16384" max="16384" width="8.6640625" style="585" customWidth="1"/>
  </cols>
  <sheetData>
    <row r="1" spans="1:9" ht="33.75" customHeight="1" thickBot="1" x14ac:dyDescent="0.3">
      <c r="A1" s="584" t="s">
        <v>635</v>
      </c>
      <c r="B1" s="849" t="s">
        <v>636</v>
      </c>
      <c r="C1" s="849"/>
      <c r="D1" s="849"/>
      <c r="E1" s="849"/>
      <c r="F1" s="849"/>
      <c r="G1" s="849"/>
      <c r="H1" s="850"/>
    </row>
    <row r="2" spans="1:9" x14ac:dyDescent="0.25">
      <c r="A2" s="586"/>
      <c r="B2" s="587"/>
      <c r="C2" s="587"/>
      <c r="D2" s="230"/>
      <c r="E2" s="587"/>
      <c r="F2" s="587"/>
      <c r="G2" s="587"/>
      <c r="H2" s="588"/>
    </row>
    <row r="3" spans="1:9" x14ac:dyDescent="0.25">
      <c r="A3" s="589">
        <v>1</v>
      </c>
      <c r="B3" s="590" t="s">
        <v>637</v>
      </c>
      <c r="C3" s="587"/>
      <c r="D3" s="230"/>
      <c r="E3" s="587"/>
      <c r="F3" s="587"/>
      <c r="G3" s="587"/>
      <c r="H3" s="588"/>
    </row>
    <row r="4" spans="1:9" ht="12.75" customHeight="1" x14ac:dyDescent="0.25">
      <c r="A4" s="586"/>
      <c r="B4" s="587"/>
      <c r="C4" s="587"/>
      <c r="D4" s="230"/>
      <c r="E4" s="587"/>
      <c r="F4" s="587"/>
      <c r="G4" s="587"/>
      <c r="H4" s="588"/>
    </row>
    <row r="5" spans="1:9" ht="12.75" customHeight="1" x14ac:dyDescent="0.25">
      <c r="A5" s="586"/>
      <c r="B5" s="859" t="s">
        <v>638</v>
      </c>
      <c r="C5" s="860"/>
      <c r="D5" s="863" t="s">
        <v>942</v>
      </c>
      <c r="E5" s="864"/>
      <c r="F5" s="863" t="s">
        <v>755</v>
      </c>
      <c r="G5" s="865"/>
      <c r="H5" s="866" t="s">
        <v>639</v>
      </c>
    </row>
    <row r="6" spans="1:9" ht="12.75" customHeight="1" x14ac:dyDescent="0.25">
      <c r="A6" s="586"/>
      <c r="B6" s="861"/>
      <c r="C6" s="862"/>
      <c r="D6" s="226" t="s">
        <v>640</v>
      </c>
      <c r="E6" s="591" t="s">
        <v>641</v>
      </c>
      <c r="F6" s="592" t="s">
        <v>640</v>
      </c>
      <c r="G6" s="592" t="s">
        <v>641</v>
      </c>
      <c r="H6" s="867"/>
    </row>
    <row r="7" spans="1:9" ht="12.75" customHeight="1" x14ac:dyDescent="0.25">
      <c r="A7" s="586"/>
      <c r="B7" s="868" t="s">
        <v>553</v>
      </c>
      <c r="C7" s="869"/>
      <c r="D7" s="223">
        <v>1188010</v>
      </c>
      <c r="E7" s="593">
        <v>15.84</v>
      </c>
      <c r="F7" s="594">
        <v>594005</v>
      </c>
      <c r="G7" s="595">
        <v>15.84</v>
      </c>
      <c r="H7" s="596" t="s">
        <v>406</v>
      </c>
    </row>
    <row r="8" spans="1:9" ht="12.75" customHeight="1" x14ac:dyDescent="0.25">
      <c r="A8" s="586"/>
      <c r="B8" s="870" t="s">
        <v>1047</v>
      </c>
      <c r="C8" s="871"/>
      <c r="D8" s="224">
        <v>1188014</v>
      </c>
      <c r="E8" s="597">
        <v>15.84</v>
      </c>
      <c r="F8" s="598">
        <v>594007</v>
      </c>
      <c r="G8" s="599">
        <v>15.84</v>
      </c>
      <c r="H8" s="600" t="s">
        <v>406</v>
      </c>
    </row>
    <row r="9" spans="1:9" ht="13.8" x14ac:dyDescent="0.25">
      <c r="A9" s="586"/>
      <c r="B9" s="857" t="s">
        <v>549</v>
      </c>
      <c r="C9" s="858"/>
      <c r="D9" s="225">
        <v>1188012</v>
      </c>
      <c r="E9" s="601">
        <v>15.84</v>
      </c>
      <c r="F9" s="602">
        <v>594006</v>
      </c>
      <c r="G9" s="601">
        <v>15.84</v>
      </c>
      <c r="H9" s="603" t="s">
        <v>406</v>
      </c>
    </row>
    <row r="10" spans="1:9" x14ac:dyDescent="0.25">
      <c r="A10" s="586"/>
      <c r="B10" s="587"/>
      <c r="C10" s="587"/>
      <c r="D10" s="230"/>
      <c r="E10" s="587"/>
      <c r="F10" s="587"/>
      <c r="G10" s="587"/>
      <c r="H10" s="588"/>
    </row>
    <row r="11" spans="1:9" x14ac:dyDescent="0.25">
      <c r="A11" s="586"/>
      <c r="B11" s="604" t="s">
        <v>642</v>
      </c>
      <c r="C11" s="587"/>
      <c r="D11" s="230"/>
      <c r="E11" s="587"/>
      <c r="F11" s="587"/>
      <c r="G11" s="587"/>
      <c r="H11" s="588"/>
    </row>
    <row r="12" spans="1:9" x14ac:dyDescent="0.25">
      <c r="A12" s="586"/>
      <c r="B12" s="587"/>
      <c r="C12" s="587"/>
      <c r="D12" s="230"/>
      <c r="E12" s="587"/>
      <c r="F12" s="587"/>
      <c r="G12" s="587"/>
      <c r="H12" s="588"/>
    </row>
    <row r="13" spans="1:9" x14ac:dyDescent="0.25">
      <c r="A13" s="589">
        <v>2</v>
      </c>
      <c r="B13" s="590" t="s">
        <v>643</v>
      </c>
      <c r="C13" s="587"/>
      <c r="D13" s="230"/>
      <c r="E13" s="587"/>
      <c r="F13" s="587"/>
      <c r="G13" s="587"/>
      <c r="H13" s="588"/>
    </row>
    <row r="14" spans="1:9" x14ac:dyDescent="0.25">
      <c r="A14" s="586"/>
      <c r="B14" s="587"/>
      <c r="C14" s="587"/>
      <c r="D14" s="230"/>
      <c r="E14" s="587"/>
      <c r="F14" s="587"/>
      <c r="G14" s="587"/>
      <c r="H14" s="588"/>
    </row>
    <row r="15" spans="1:9" x14ac:dyDescent="0.25">
      <c r="A15" s="586"/>
      <c r="B15" s="851" t="s">
        <v>0</v>
      </c>
      <c r="C15" s="852"/>
      <c r="D15" s="853" t="s">
        <v>644</v>
      </c>
      <c r="E15" s="853"/>
      <c r="F15" s="853"/>
      <c r="G15" s="853"/>
      <c r="H15" s="854"/>
    </row>
    <row r="16" spans="1:9" x14ac:dyDescent="0.25">
      <c r="A16" s="586"/>
      <c r="B16" s="851"/>
      <c r="C16" s="852"/>
      <c r="D16" s="226" t="s">
        <v>645</v>
      </c>
      <c r="E16" s="592" t="s">
        <v>646</v>
      </c>
      <c r="F16" s="592" t="s">
        <v>647</v>
      </c>
      <c r="G16" s="592" t="s">
        <v>648</v>
      </c>
      <c r="H16" s="605" t="s">
        <v>649</v>
      </c>
      <c r="I16" s="606"/>
    </row>
    <row r="17" spans="1:8" x14ac:dyDescent="0.25">
      <c r="A17" s="586"/>
      <c r="B17" s="855" t="s">
        <v>650</v>
      </c>
      <c r="C17" s="856"/>
      <c r="D17" s="226"/>
      <c r="E17" s="592">
        <v>0</v>
      </c>
      <c r="F17" s="592">
        <v>0</v>
      </c>
      <c r="G17" s="592">
        <v>0</v>
      </c>
      <c r="H17" s="607">
        <f>+D17</f>
        <v>0</v>
      </c>
    </row>
    <row r="18" spans="1:8" x14ac:dyDescent="0.25">
      <c r="A18" s="586"/>
      <c r="B18" s="855" t="s">
        <v>651</v>
      </c>
      <c r="C18" s="856"/>
      <c r="D18" s="226"/>
      <c r="E18" s="592">
        <v>0</v>
      </c>
      <c r="F18" s="592">
        <v>0</v>
      </c>
      <c r="G18" s="592">
        <v>0</v>
      </c>
      <c r="H18" s="607">
        <f>+D18</f>
        <v>0</v>
      </c>
    </row>
    <row r="19" spans="1:8" x14ac:dyDescent="0.25">
      <c r="A19" s="586"/>
      <c r="B19" s="608" t="s">
        <v>652</v>
      </c>
      <c r="C19" s="592"/>
      <c r="D19" s="226">
        <v>0</v>
      </c>
      <c r="E19" s="592">
        <v>0</v>
      </c>
      <c r="F19" s="592">
        <v>0</v>
      </c>
      <c r="G19" s="592">
        <v>0</v>
      </c>
      <c r="H19" s="607">
        <v>0</v>
      </c>
    </row>
    <row r="20" spans="1:8" x14ac:dyDescent="0.25">
      <c r="A20" s="586"/>
      <c r="B20" s="608" t="s">
        <v>653</v>
      </c>
      <c r="C20" s="592"/>
      <c r="D20" s="226">
        <v>0</v>
      </c>
      <c r="E20" s="592">
        <v>0</v>
      </c>
      <c r="F20" s="592">
        <v>0</v>
      </c>
      <c r="G20" s="592">
        <v>0</v>
      </c>
      <c r="H20" s="607">
        <v>0</v>
      </c>
    </row>
    <row r="21" spans="1:8" x14ac:dyDescent="0.25">
      <c r="A21" s="586"/>
      <c r="B21" s="587"/>
      <c r="C21" s="587"/>
      <c r="D21" s="230"/>
      <c r="E21" s="587"/>
      <c r="F21" s="587"/>
      <c r="G21" s="587"/>
      <c r="H21" s="588"/>
    </row>
    <row r="22" spans="1:8" x14ac:dyDescent="0.25">
      <c r="A22" s="586"/>
      <c r="B22" s="587" t="s">
        <v>654</v>
      </c>
      <c r="C22" s="587"/>
      <c r="D22" s="230"/>
      <c r="E22" s="587"/>
      <c r="F22" s="587"/>
      <c r="G22" s="587"/>
      <c r="H22" s="588"/>
    </row>
    <row r="23" spans="1:8" x14ac:dyDescent="0.25">
      <c r="A23" s="586"/>
      <c r="B23" s="587"/>
      <c r="C23" s="587"/>
      <c r="D23" s="230"/>
      <c r="E23" s="587"/>
      <c r="F23" s="587"/>
      <c r="G23" s="587"/>
      <c r="H23" s="588"/>
    </row>
    <row r="24" spans="1:8" x14ac:dyDescent="0.25">
      <c r="A24" s="589">
        <v>3</v>
      </c>
      <c r="B24" s="590" t="s">
        <v>655</v>
      </c>
      <c r="C24" s="587"/>
      <c r="D24" s="230"/>
      <c r="E24" s="587"/>
      <c r="F24" s="587"/>
      <c r="G24" s="587"/>
      <c r="H24" s="588"/>
    </row>
    <row r="25" spans="1:8" ht="13.8" thickBot="1" x14ac:dyDescent="0.3">
      <c r="A25" s="586"/>
      <c r="B25" s="587"/>
      <c r="C25" s="587"/>
      <c r="D25" s="230"/>
      <c r="E25" s="587"/>
      <c r="F25" s="587"/>
      <c r="G25" s="587"/>
      <c r="H25" s="588"/>
    </row>
    <row r="26" spans="1:8" x14ac:dyDescent="0.25">
      <c r="A26" s="586"/>
      <c r="B26" s="872" t="s">
        <v>0</v>
      </c>
      <c r="C26" s="873"/>
      <c r="D26" s="874" t="s">
        <v>656</v>
      </c>
      <c r="E26" s="874"/>
      <c r="F26" s="874"/>
      <c r="G26" s="874"/>
      <c r="H26" s="875"/>
    </row>
    <row r="27" spans="1:8" x14ac:dyDescent="0.25">
      <c r="A27" s="586"/>
      <c r="B27" s="851"/>
      <c r="C27" s="852"/>
      <c r="D27" s="226" t="s">
        <v>645</v>
      </c>
      <c r="E27" s="592" t="s">
        <v>646</v>
      </c>
      <c r="F27" s="592" t="s">
        <v>647</v>
      </c>
      <c r="G27" s="592" t="s">
        <v>648</v>
      </c>
      <c r="H27" s="605" t="s">
        <v>649</v>
      </c>
    </row>
    <row r="28" spans="1:8" ht="16.5" customHeight="1" x14ac:dyDescent="0.25">
      <c r="A28" s="586"/>
      <c r="B28" s="855" t="s">
        <v>657</v>
      </c>
      <c r="C28" s="856"/>
      <c r="D28" s="226"/>
      <c r="E28" s="609">
        <v>0</v>
      </c>
      <c r="F28" s="226">
        <v>0</v>
      </c>
      <c r="G28" s="592">
        <v>0</v>
      </c>
      <c r="H28" s="227">
        <f>+D28+E28+F28</f>
        <v>0</v>
      </c>
    </row>
    <row r="29" spans="1:8" x14ac:dyDescent="0.25">
      <c r="A29" s="586"/>
      <c r="B29" s="855" t="s">
        <v>658</v>
      </c>
      <c r="C29" s="856"/>
      <c r="D29" s="226">
        <v>0</v>
      </c>
      <c r="E29" s="592">
        <v>0</v>
      </c>
      <c r="F29" s="592">
        <v>0</v>
      </c>
      <c r="G29" s="592"/>
      <c r="H29" s="227"/>
    </row>
    <row r="30" spans="1:8" x14ac:dyDescent="0.25">
      <c r="A30" s="586"/>
      <c r="B30" s="855" t="s">
        <v>659</v>
      </c>
      <c r="C30" s="856"/>
      <c r="D30" s="226">
        <v>0</v>
      </c>
      <c r="E30" s="592">
        <v>0</v>
      </c>
      <c r="F30" s="592">
        <v>0</v>
      </c>
      <c r="G30" s="609">
        <v>0</v>
      </c>
      <c r="H30" s="227">
        <f>+G30</f>
        <v>0</v>
      </c>
    </row>
    <row r="31" spans="1:8" ht="13.8" thickBot="1" x14ac:dyDescent="0.3">
      <c r="A31" s="586"/>
      <c r="B31" s="877" t="s">
        <v>660</v>
      </c>
      <c r="C31" s="878"/>
      <c r="D31" s="228">
        <v>0</v>
      </c>
      <c r="E31" s="610">
        <v>0</v>
      </c>
      <c r="F31" s="610">
        <v>0</v>
      </c>
      <c r="G31" s="610">
        <v>0</v>
      </c>
      <c r="H31" s="229">
        <v>0</v>
      </c>
    </row>
    <row r="32" spans="1:8" x14ac:dyDescent="0.25">
      <c r="A32" s="586"/>
      <c r="B32" s="587"/>
      <c r="C32" s="587"/>
      <c r="D32" s="230"/>
      <c r="E32" s="587"/>
      <c r="F32" s="587"/>
      <c r="G32" s="587"/>
      <c r="H32" s="588"/>
    </row>
    <row r="33" spans="1:9" x14ac:dyDescent="0.25">
      <c r="A33" s="586"/>
      <c r="B33" s="587"/>
      <c r="C33" s="587"/>
      <c r="D33" s="230"/>
      <c r="E33" s="587"/>
      <c r="F33" s="587"/>
      <c r="G33" s="587"/>
      <c r="H33" s="588"/>
    </row>
    <row r="34" spans="1:9" x14ac:dyDescent="0.25">
      <c r="A34" s="589">
        <v>4</v>
      </c>
      <c r="B34" s="590" t="s">
        <v>661</v>
      </c>
      <c r="C34" s="587"/>
      <c r="D34" s="230"/>
      <c r="E34" s="587"/>
      <c r="F34" s="587"/>
      <c r="G34" s="587"/>
      <c r="H34" s="588"/>
    </row>
    <row r="35" spans="1:9" ht="13.8" thickBot="1" x14ac:dyDescent="0.3">
      <c r="A35" s="586"/>
      <c r="B35" s="587"/>
      <c r="C35" s="587"/>
      <c r="D35" s="230"/>
      <c r="E35" s="587"/>
      <c r="F35" s="587"/>
      <c r="G35" s="587"/>
      <c r="H35" s="588"/>
    </row>
    <row r="36" spans="1:9" ht="52.8" x14ac:dyDescent="0.25">
      <c r="A36" s="586"/>
      <c r="B36" s="611" t="s">
        <v>662</v>
      </c>
      <c r="C36" s="612" t="s">
        <v>663</v>
      </c>
      <c r="D36" s="613" t="s">
        <v>664</v>
      </c>
      <c r="E36" s="612" t="s">
        <v>665</v>
      </c>
      <c r="F36" s="612" t="s">
        <v>666</v>
      </c>
      <c r="G36" s="612" t="s">
        <v>667</v>
      </c>
      <c r="H36" s="614" t="s">
        <v>668</v>
      </c>
      <c r="I36" s="615"/>
    </row>
    <row r="37" spans="1:9" x14ac:dyDescent="0.25">
      <c r="A37" s="586"/>
      <c r="B37" s="608" t="s">
        <v>698</v>
      </c>
      <c r="C37" s="592"/>
      <c r="D37" s="226">
        <v>0</v>
      </c>
      <c r="E37" s="592"/>
      <c r="F37" s="592"/>
      <c r="G37" s="616"/>
      <c r="H37" s="227">
        <v>0</v>
      </c>
    </row>
    <row r="38" spans="1:9" x14ac:dyDescent="0.25">
      <c r="A38" s="586"/>
      <c r="B38" s="608"/>
      <c r="C38" s="592"/>
      <c r="D38" s="226">
        <v>0</v>
      </c>
      <c r="E38" s="592"/>
      <c r="F38" s="592"/>
      <c r="G38" s="616"/>
      <c r="H38" s="227">
        <v>0</v>
      </c>
    </row>
    <row r="39" spans="1:9" x14ac:dyDescent="0.25">
      <c r="A39" s="586"/>
      <c r="B39" s="608"/>
      <c r="C39" s="592"/>
      <c r="D39" s="226">
        <v>0</v>
      </c>
      <c r="E39" s="592"/>
      <c r="F39" s="592"/>
      <c r="G39" s="617"/>
      <c r="H39" s="227">
        <v>0</v>
      </c>
    </row>
    <row r="40" spans="1:9" x14ac:dyDescent="0.25">
      <c r="A40" s="586"/>
      <c r="B40" s="587"/>
      <c r="C40" s="587"/>
      <c r="D40" s="230"/>
      <c r="E40" s="587"/>
      <c r="F40" s="587"/>
      <c r="G40" s="587"/>
      <c r="H40" s="588"/>
    </row>
    <row r="41" spans="1:9" ht="26.1" customHeight="1" x14ac:dyDescent="0.25">
      <c r="A41" s="586"/>
      <c r="B41" s="876" t="s">
        <v>669</v>
      </c>
      <c r="C41" s="876"/>
      <c r="D41" s="876"/>
      <c r="E41" s="876"/>
      <c r="F41" s="876"/>
      <c r="G41" s="876"/>
      <c r="H41" s="879"/>
    </row>
    <row r="42" spans="1:9" x14ac:dyDescent="0.25">
      <c r="A42" s="586"/>
      <c r="B42" s="587"/>
      <c r="C42" s="587"/>
      <c r="D42" s="230"/>
      <c r="E42" s="587"/>
      <c r="F42" s="587"/>
      <c r="G42" s="587"/>
      <c r="H42" s="588"/>
    </row>
    <row r="43" spans="1:9" x14ac:dyDescent="0.25">
      <c r="A43" s="589">
        <v>5</v>
      </c>
      <c r="B43" s="590" t="s">
        <v>670</v>
      </c>
      <c r="C43" s="587"/>
      <c r="D43" s="230"/>
      <c r="E43" s="587"/>
      <c r="F43" s="587"/>
      <c r="G43" s="587"/>
      <c r="H43" s="588"/>
    </row>
    <row r="44" spans="1:9" x14ac:dyDescent="0.25">
      <c r="A44" s="586"/>
      <c r="B44" s="587"/>
      <c r="C44" s="587"/>
      <c r="D44" s="230"/>
      <c r="E44" s="587"/>
      <c r="F44" s="587"/>
      <c r="G44" s="587"/>
      <c r="H44" s="588"/>
    </row>
    <row r="45" spans="1:9" x14ac:dyDescent="0.25">
      <c r="A45" s="586"/>
      <c r="B45" s="587" t="s">
        <v>953</v>
      </c>
      <c r="C45" s="587"/>
      <c r="D45" s="230"/>
      <c r="E45" s="587"/>
      <c r="F45" s="587"/>
      <c r="G45" s="587"/>
      <c r="H45" s="588"/>
    </row>
    <row r="46" spans="1:9" x14ac:dyDescent="0.25">
      <c r="A46" s="586"/>
      <c r="B46" s="587"/>
      <c r="C46" s="587"/>
      <c r="D46" s="230"/>
      <c r="E46" s="587"/>
      <c r="F46" s="587"/>
      <c r="G46" s="587"/>
      <c r="H46" s="588"/>
    </row>
    <row r="47" spans="1:9" x14ac:dyDescent="0.25">
      <c r="A47" s="589">
        <v>6</v>
      </c>
      <c r="B47" s="590" t="s">
        <v>671</v>
      </c>
      <c r="C47" s="587"/>
      <c r="D47" s="230"/>
      <c r="E47" s="587"/>
      <c r="F47" s="587"/>
      <c r="G47" s="587"/>
      <c r="H47" s="588"/>
    </row>
    <row r="48" spans="1:9" x14ac:dyDescent="0.25">
      <c r="A48" s="586"/>
      <c r="B48" s="587"/>
      <c r="C48" s="587"/>
      <c r="D48" s="230"/>
      <c r="E48" s="587"/>
      <c r="F48" s="587"/>
      <c r="G48" s="587"/>
      <c r="H48" s="588"/>
    </row>
    <row r="49" spans="1:8" ht="26.4" x14ac:dyDescent="0.25">
      <c r="A49" s="586"/>
      <c r="B49" s="618" t="s">
        <v>672</v>
      </c>
      <c r="C49" s="619" t="s">
        <v>673</v>
      </c>
      <c r="D49" s="620" t="s">
        <v>674</v>
      </c>
      <c r="E49" s="587"/>
      <c r="F49" s="587"/>
      <c r="G49" s="587"/>
      <c r="H49" s="588"/>
    </row>
    <row r="50" spans="1:8" x14ac:dyDescent="0.25">
      <c r="A50" s="586"/>
      <c r="B50" s="608" t="s">
        <v>675</v>
      </c>
      <c r="C50" s="621">
        <v>0</v>
      </c>
      <c r="D50" s="226">
        <v>0</v>
      </c>
      <c r="E50" s="587"/>
      <c r="F50" s="587"/>
      <c r="G50" s="587"/>
      <c r="H50" s="588"/>
    </row>
    <row r="51" spans="1:8" x14ac:dyDescent="0.25">
      <c r="A51" s="586"/>
      <c r="B51" s="608" t="s">
        <v>699</v>
      </c>
      <c r="C51" s="621">
        <v>0</v>
      </c>
      <c r="D51" s="226">
        <v>0</v>
      </c>
      <c r="E51" s="587"/>
      <c r="F51" s="587"/>
      <c r="G51" s="587"/>
      <c r="H51" s="588"/>
    </row>
    <row r="52" spans="1:8" x14ac:dyDescent="0.25">
      <c r="A52" s="586"/>
      <c r="B52" s="608" t="s">
        <v>676</v>
      </c>
      <c r="C52" s="621">
        <v>0</v>
      </c>
      <c r="D52" s="226">
        <v>0</v>
      </c>
      <c r="E52" s="587"/>
      <c r="F52" s="587"/>
      <c r="G52" s="587"/>
      <c r="H52" s="588"/>
    </row>
    <row r="53" spans="1:8" x14ac:dyDescent="0.25">
      <c r="A53" s="586"/>
      <c r="B53" s="608" t="s">
        <v>677</v>
      </c>
      <c r="C53" s="621">
        <v>0</v>
      </c>
      <c r="D53" s="226">
        <v>0</v>
      </c>
      <c r="E53" s="587"/>
      <c r="F53" s="587"/>
      <c r="G53" s="587"/>
      <c r="H53" s="588"/>
    </row>
    <row r="54" spans="1:8" x14ac:dyDescent="0.25">
      <c r="A54" s="586"/>
      <c r="B54" s="587"/>
      <c r="C54" s="587"/>
      <c r="D54" s="230"/>
      <c r="E54" s="587"/>
      <c r="F54" s="587"/>
      <c r="G54" s="587"/>
      <c r="H54" s="588"/>
    </row>
    <row r="55" spans="1:8" x14ac:dyDescent="0.25">
      <c r="A55" s="589">
        <v>7</v>
      </c>
      <c r="B55" s="590" t="s">
        <v>678</v>
      </c>
      <c r="C55" s="587"/>
      <c r="D55" s="230"/>
      <c r="E55" s="587"/>
      <c r="F55" s="587"/>
      <c r="G55" s="587"/>
      <c r="H55" s="588"/>
    </row>
    <row r="56" spans="1:8" x14ac:dyDescent="0.25">
      <c r="A56" s="586"/>
      <c r="B56" s="587"/>
      <c r="C56" s="587"/>
      <c r="D56" s="230"/>
      <c r="E56" s="587"/>
      <c r="F56" s="587"/>
      <c r="G56" s="587"/>
      <c r="H56" s="588"/>
    </row>
    <row r="57" spans="1:8" x14ac:dyDescent="0.25">
      <c r="A57" s="586"/>
      <c r="B57" s="587" t="s">
        <v>943</v>
      </c>
      <c r="C57" s="587"/>
      <c r="D57" s="230"/>
      <c r="E57" s="587"/>
      <c r="F57" s="587"/>
      <c r="G57" s="587"/>
      <c r="H57" s="588"/>
    </row>
    <row r="58" spans="1:8" x14ac:dyDescent="0.25">
      <c r="A58" s="586"/>
      <c r="B58" s="587"/>
      <c r="C58" s="587"/>
      <c r="D58" s="230"/>
      <c r="E58" s="587"/>
      <c r="F58" s="587"/>
      <c r="G58" s="587"/>
      <c r="H58" s="588"/>
    </row>
    <row r="59" spans="1:8" x14ac:dyDescent="0.25">
      <c r="A59" s="589">
        <v>8</v>
      </c>
      <c r="B59" s="590" t="s">
        <v>679</v>
      </c>
      <c r="C59" s="587"/>
      <c r="D59" s="230"/>
      <c r="E59" s="587"/>
      <c r="F59" s="587"/>
      <c r="G59" s="587"/>
      <c r="H59" s="588"/>
    </row>
    <row r="60" spans="1:8" x14ac:dyDescent="0.25">
      <c r="A60" s="586"/>
      <c r="B60" s="587"/>
      <c r="C60" s="587"/>
      <c r="D60" s="230"/>
      <c r="E60" s="587"/>
      <c r="F60" s="587"/>
      <c r="G60" s="587"/>
      <c r="H60" s="588"/>
    </row>
    <row r="61" spans="1:8" x14ac:dyDescent="0.25">
      <c r="A61" s="586"/>
      <c r="B61" s="587" t="s">
        <v>944</v>
      </c>
      <c r="C61" s="587"/>
      <c r="D61" s="230"/>
      <c r="E61" s="587"/>
      <c r="F61" s="587"/>
      <c r="G61" s="587"/>
      <c r="H61" s="588"/>
    </row>
    <row r="62" spans="1:8" x14ac:dyDescent="0.25">
      <c r="A62" s="586"/>
      <c r="B62" s="587"/>
      <c r="C62" s="587"/>
      <c r="D62" s="230"/>
      <c r="E62" s="587"/>
      <c r="F62" s="587"/>
      <c r="G62" s="587"/>
      <c r="H62" s="588"/>
    </row>
    <row r="63" spans="1:8" x14ac:dyDescent="0.25">
      <c r="A63" s="589">
        <v>9</v>
      </c>
      <c r="B63" s="590" t="s">
        <v>680</v>
      </c>
      <c r="C63" s="587"/>
      <c r="D63" s="230"/>
      <c r="E63" s="587"/>
      <c r="F63" s="587"/>
      <c r="G63" s="587"/>
      <c r="H63" s="588"/>
    </row>
    <row r="64" spans="1:8" x14ac:dyDescent="0.25">
      <c r="A64" s="586"/>
      <c r="B64" s="587"/>
      <c r="C64" s="587"/>
      <c r="D64" s="230"/>
      <c r="E64" s="587"/>
      <c r="F64" s="587"/>
      <c r="G64" s="587"/>
      <c r="H64" s="588"/>
    </row>
    <row r="65" spans="1:8" ht="33.6" customHeight="1" x14ac:dyDescent="0.25">
      <c r="A65" s="586"/>
      <c r="B65" s="876" t="s">
        <v>681</v>
      </c>
      <c r="C65" s="876"/>
      <c r="D65" s="876"/>
      <c r="E65" s="876"/>
      <c r="F65" s="876"/>
      <c r="G65" s="587"/>
      <c r="H65" s="588"/>
    </row>
    <row r="66" spans="1:8" x14ac:dyDescent="0.25">
      <c r="A66" s="586"/>
      <c r="B66" s="587" t="s">
        <v>682</v>
      </c>
      <c r="C66" s="587"/>
      <c r="D66" s="230"/>
      <c r="E66" s="587"/>
      <c r="F66" s="587"/>
      <c r="G66" s="587"/>
      <c r="H66" s="588"/>
    </row>
    <row r="67" spans="1:8" x14ac:dyDescent="0.25">
      <c r="A67" s="586"/>
      <c r="B67" s="587"/>
      <c r="C67" s="587"/>
      <c r="D67" s="230"/>
      <c r="E67" s="587"/>
      <c r="F67" s="587"/>
      <c r="G67" s="587"/>
      <c r="H67" s="588"/>
    </row>
    <row r="68" spans="1:8" x14ac:dyDescent="0.25">
      <c r="A68" s="589">
        <v>10</v>
      </c>
      <c r="B68" s="590" t="s">
        <v>683</v>
      </c>
      <c r="C68" s="587"/>
      <c r="D68" s="230"/>
      <c r="E68" s="587"/>
      <c r="F68" s="587"/>
      <c r="G68" s="587"/>
      <c r="H68" s="588"/>
    </row>
    <row r="69" spans="1:8" x14ac:dyDescent="0.25">
      <c r="A69" s="586"/>
      <c r="B69" s="587"/>
      <c r="C69" s="587"/>
      <c r="D69" s="230"/>
      <c r="E69" s="587"/>
      <c r="F69" s="587"/>
      <c r="G69" s="587"/>
      <c r="H69" s="588"/>
    </row>
    <row r="70" spans="1:8" x14ac:dyDescent="0.25">
      <c r="A70" s="586"/>
      <c r="B70" s="587" t="s">
        <v>698</v>
      </c>
      <c r="C70" s="587"/>
      <c r="D70" s="230"/>
      <c r="E70" s="587"/>
      <c r="F70" s="587"/>
      <c r="G70" s="587"/>
      <c r="H70" s="588"/>
    </row>
    <row r="71" spans="1:8" x14ac:dyDescent="0.25">
      <c r="A71" s="586"/>
      <c r="B71" s="590"/>
      <c r="C71" s="587"/>
      <c r="D71" s="230"/>
      <c r="E71" s="587"/>
      <c r="F71" s="587"/>
      <c r="G71" s="587"/>
      <c r="H71" s="588"/>
    </row>
    <row r="72" spans="1:8" x14ac:dyDescent="0.25">
      <c r="A72" s="589">
        <v>11</v>
      </c>
      <c r="B72" s="590" t="s">
        <v>684</v>
      </c>
      <c r="C72" s="587"/>
      <c r="D72" s="230"/>
      <c r="E72" s="587"/>
      <c r="F72" s="587"/>
      <c r="G72" s="587"/>
      <c r="H72" s="588"/>
    </row>
    <row r="73" spans="1:8" x14ac:dyDescent="0.25">
      <c r="A73" s="586"/>
      <c r="B73" s="587"/>
      <c r="C73" s="587"/>
      <c r="D73" s="230"/>
      <c r="E73" s="587"/>
      <c r="F73" s="587"/>
      <c r="G73" s="587"/>
      <c r="H73" s="588"/>
    </row>
    <row r="74" spans="1:8" x14ac:dyDescent="0.25">
      <c r="A74" s="586"/>
      <c r="B74" s="587" t="s">
        <v>945</v>
      </c>
      <c r="C74" s="587"/>
      <c r="D74" s="230"/>
      <c r="E74" s="587"/>
      <c r="F74" s="587"/>
      <c r="G74" s="587"/>
      <c r="H74" s="588"/>
    </row>
    <row r="75" spans="1:8" x14ac:dyDescent="0.25">
      <c r="A75" s="586"/>
      <c r="B75" s="587"/>
      <c r="C75" s="587"/>
      <c r="D75" s="230"/>
      <c r="E75" s="587"/>
      <c r="F75" s="587"/>
      <c r="G75" s="587"/>
      <c r="H75" s="588"/>
    </row>
    <row r="76" spans="1:8" x14ac:dyDescent="0.25">
      <c r="A76" s="589">
        <v>12</v>
      </c>
      <c r="B76" s="590" t="s">
        <v>685</v>
      </c>
      <c r="C76" s="587"/>
      <c r="D76" s="230"/>
      <c r="E76" s="587"/>
      <c r="F76" s="587"/>
      <c r="G76" s="587"/>
      <c r="H76" s="588"/>
    </row>
    <row r="77" spans="1:8" x14ac:dyDescent="0.25">
      <c r="A77" s="586"/>
      <c r="B77" s="587"/>
      <c r="C77" s="587"/>
      <c r="D77" s="230"/>
      <c r="E77" s="587"/>
      <c r="F77" s="587"/>
      <c r="G77" s="587"/>
      <c r="H77" s="588"/>
    </row>
    <row r="78" spans="1:8" x14ac:dyDescent="0.25">
      <c r="A78" s="586"/>
      <c r="B78" s="587" t="s">
        <v>698</v>
      </c>
      <c r="C78" s="587"/>
      <c r="D78" s="230"/>
      <c r="E78" s="587"/>
      <c r="F78" s="587"/>
      <c r="G78" s="587"/>
      <c r="H78" s="588"/>
    </row>
    <row r="79" spans="1:8" x14ac:dyDescent="0.25">
      <c r="A79" s="586"/>
      <c r="B79" s="587"/>
      <c r="C79" s="587"/>
      <c r="D79" s="230"/>
      <c r="E79" s="587"/>
      <c r="F79" s="587"/>
      <c r="G79" s="587"/>
      <c r="H79" s="588"/>
    </row>
    <row r="80" spans="1:8" x14ac:dyDescent="0.25">
      <c r="A80" s="589">
        <v>13</v>
      </c>
      <c r="B80" s="590" t="s">
        <v>686</v>
      </c>
      <c r="C80" s="587"/>
      <c r="D80" s="230"/>
      <c r="E80" s="587"/>
      <c r="F80" s="587"/>
      <c r="G80" s="587"/>
      <c r="H80" s="588"/>
    </row>
    <row r="81" spans="1:8" x14ac:dyDescent="0.25">
      <c r="A81" s="586"/>
      <c r="B81" s="587"/>
      <c r="C81" s="587"/>
      <c r="D81" s="230"/>
      <c r="E81" s="587"/>
      <c r="F81" s="587"/>
      <c r="G81" s="587"/>
      <c r="H81" s="588"/>
    </row>
    <row r="82" spans="1:8" ht="13.8" x14ac:dyDescent="0.25">
      <c r="A82" s="586"/>
      <c r="B82" s="622" t="s">
        <v>1048</v>
      </c>
      <c r="C82" s="587"/>
      <c r="D82" s="230"/>
      <c r="E82" s="587"/>
      <c r="F82" s="587"/>
      <c r="G82" s="587"/>
      <c r="H82" s="588"/>
    </row>
    <row r="83" spans="1:8" x14ac:dyDescent="0.25">
      <c r="A83" s="586"/>
      <c r="B83" s="587" t="s">
        <v>946</v>
      </c>
      <c r="C83" s="587"/>
      <c r="D83" s="230"/>
      <c r="E83" s="587"/>
      <c r="F83" s="587"/>
      <c r="G83" s="587"/>
      <c r="H83" s="588"/>
    </row>
    <row r="84" spans="1:8" x14ac:dyDescent="0.25">
      <c r="A84" s="586"/>
      <c r="B84" s="587"/>
      <c r="C84" s="587"/>
      <c r="D84" s="230"/>
      <c r="E84" s="587"/>
      <c r="F84" s="587"/>
      <c r="G84" s="587"/>
      <c r="H84" s="588"/>
    </row>
    <row r="85" spans="1:8" x14ac:dyDescent="0.25">
      <c r="A85" s="589">
        <v>14</v>
      </c>
      <c r="B85" s="590" t="s">
        <v>687</v>
      </c>
      <c r="C85" s="587"/>
      <c r="D85" s="230"/>
      <c r="E85" s="587"/>
      <c r="F85" s="587"/>
      <c r="G85" s="587"/>
      <c r="H85" s="588"/>
    </row>
    <row r="86" spans="1:8" ht="14.7" customHeight="1" x14ac:dyDescent="0.25">
      <c r="A86" s="586"/>
      <c r="B86" s="876" t="s">
        <v>688</v>
      </c>
      <c r="C86" s="876"/>
      <c r="D86" s="876"/>
      <c r="E86" s="876"/>
      <c r="F86" s="876"/>
      <c r="G86" s="587"/>
      <c r="H86" s="588"/>
    </row>
    <row r="87" spans="1:8" x14ac:dyDescent="0.25">
      <c r="A87" s="586"/>
      <c r="B87" s="876"/>
      <c r="C87" s="876"/>
      <c r="D87" s="876"/>
      <c r="E87" s="876"/>
      <c r="F87" s="876"/>
      <c r="G87" s="587"/>
      <c r="H87" s="588"/>
    </row>
    <row r="88" spans="1:8" x14ac:dyDescent="0.25">
      <c r="A88" s="586"/>
      <c r="B88" s="587"/>
      <c r="C88" s="587"/>
      <c r="D88" s="230"/>
      <c r="E88" s="587"/>
      <c r="F88" s="587"/>
      <c r="G88" s="587"/>
      <c r="H88" s="588"/>
    </row>
    <row r="89" spans="1:8" x14ac:dyDescent="0.25">
      <c r="A89" s="589">
        <v>15</v>
      </c>
      <c r="B89" s="590" t="s">
        <v>689</v>
      </c>
      <c r="C89" s="587"/>
      <c r="D89" s="230"/>
      <c r="E89" s="587"/>
      <c r="F89" s="587"/>
      <c r="G89" s="587"/>
      <c r="H89" s="588"/>
    </row>
    <row r="90" spans="1:8" x14ac:dyDescent="0.25">
      <c r="A90" s="586"/>
      <c r="B90" s="587"/>
      <c r="C90" s="587"/>
      <c r="D90" s="230"/>
      <c r="E90" s="587"/>
      <c r="F90" s="587"/>
      <c r="G90" s="587"/>
      <c r="H90" s="588"/>
    </row>
    <row r="91" spans="1:8" x14ac:dyDescent="0.25">
      <c r="A91" s="586"/>
      <c r="B91" s="587" t="s">
        <v>690</v>
      </c>
      <c r="C91" s="587"/>
      <c r="D91" s="230"/>
      <c r="E91" s="587"/>
      <c r="F91" s="587"/>
      <c r="G91" s="587"/>
      <c r="H91" s="588"/>
    </row>
    <row r="92" spans="1:8" x14ac:dyDescent="0.25">
      <c r="A92" s="586"/>
      <c r="B92" s="587"/>
      <c r="C92" s="587"/>
      <c r="D92" s="230"/>
      <c r="E92" s="587"/>
      <c r="F92" s="587"/>
      <c r="G92" s="587"/>
      <c r="H92" s="588"/>
    </row>
    <row r="93" spans="1:8" x14ac:dyDescent="0.25">
      <c r="A93" s="589">
        <v>16</v>
      </c>
      <c r="B93" s="590" t="s">
        <v>691</v>
      </c>
      <c r="C93" s="587"/>
      <c r="D93" s="230"/>
      <c r="E93" s="587"/>
      <c r="F93" s="587"/>
      <c r="G93" s="587"/>
      <c r="H93" s="588"/>
    </row>
    <row r="94" spans="1:8" x14ac:dyDescent="0.25">
      <c r="A94" s="586"/>
      <c r="B94" s="587"/>
      <c r="C94" s="587"/>
      <c r="D94" s="230"/>
      <c r="E94" s="587"/>
      <c r="F94" s="587"/>
      <c r="G94" s="587"/>
      <c r="H94" s="588"/>
    </row>
    <row r="95" spans="1:8" x14ac:dyDescent="0.25">
      <c r="A95" s="586"/>
      <c r="B95" s="587" t="s">
        <v>952</v>
      </c>
      <c r="C95" s="587"/>
      <c r="D95" s="230"/>
      <c r="E95" s="587"/>
      <c r="F95" s="587"/>
      <c r="G95" s="587"/>
      <c r="H95" s="588"/>
    </row>
    <row r="96" spans="1:8" x14ac:dyDescent="0.25">
      <c r="A96" s="586"/>
      <c r="B96" s="587"/>
      <c r="C96" s="587"/>
      <c r="D96" s="230"/>
      <c r="E96" s="587"/>
      <c r="F96" s="587"/>
      <c r="G96" s="587"/>
      <c r="H96" s="588"/>
    </row>
    <row r="97" spans="1:8" x14ac:dyDescent="0.25">
      <c r="A97" s="589">
        <v>17</v>
      </c>
      <c r="B97" s="590" t="s">
        <v>692</v>
      </c>
      <c r="C97" s="587"/>
      <c r="D97" s="230"/>
      <c r="E97" s="587"/>
      <c r="F97" s="587"/>
      <c r="G97" s="587"/>
      <c r="H97" s="588"/>
    </row>
    <row r="98" spans="1:8" x14ac:dyDescent="0.25">
      <c r="A98" s="586"/>
      <c r="B98" s="587"/>
      <c r="C98" s="587"/>
      <c r="D98" s="230"/>
      <c r="E98" s="587"/>
      <c r="F98" s="587"/>
      <c r="G98" s="587"/>
      <c r="H98" s="588"/>
    </row>
    <row r="99" spans="1:8" ht="26.7" customHeight="1" x14ac:dyDescent="0.25">
      <c r="A99" s="586"/>
      <c r="B99" s="876" t="s">
        <v>693</v>
      </c>
      <c r="C99" s="876"/>
      <c r="D99" s="876"/>
      <c r="E99" s="876"/>
      <c r="F99" s="876"/>
      <c r="G99" s="587"/>
      <c r="H99" s="588"/>
    </row>
    <row r="100" spans="1:8" x14ac:dyDescent="0.25">
      <c r="A100" s="586"/>
      <c r="B100" s="587"/>
      <c r="C100" s="587"/>
      <c r="D100" s="230"/>
      <c r="E100" s="587"/>
      <c r="F100" s="587"/>
      <c r="G100" s="587"/>
      <c r="H100" s="588"/>
    </row>
    <row r="101" spans="1:8" x14ac:dyDescent="0.25">
      <c r="A101" s="589">
        <v>18</v>
      </c>
      <c r="B101" s="590" t="s">
        <v>694</v>
      </c>
      <c r="C101" s="587"/>
      <c r="D101" s="230"/>
      <c r="E101" s="587"/>
      <c r="F101" s="587"/>
      <c r="G101" s="587"/>
      <c r="H101" s="588"/>
    </row>
    <row r="102" spans="1:8" x14ac:dyDescent="0.25">
      <c r="A102" s="586"/>
      <c r="B102" s="587"/>
      <c r="C102" s="587"/>
      <c r="D102" s="230"/>
      <c r="E102" s="587"/>
      <c r="F102" s="587"/>
      <c r="G102" s="587"/>
      <c r="H102" s="588"/>
    </row>
    <row r="103" spans="1:8" ht="25.35" customHeight="1" x14ac:dyDescent="0.25">
      <c r="A103" s="586"/>
      <c r="B103" s="876" t="s">
        <v>947</v>
      </c>
      <c r="C103" s="876"/>
      <c r="D103" s="876"/>
      <c r="E103" s="876"/>
      <c r="F103" s="587"/>
      <c r="G103" s="587"/>
      <c r="H103" s="588"/>
    </row>
    <row r="104" spans="1:8" x14ac:dyDescent="0.25">
      <c r="A104" s="586"/>
      <c r="B104" s="587"/>
      <c r="C104" s="587"/>
      <c r="D104" s="230"/>
      <c r="E104" s="587"/>
      <c r="F104" s="587"/>
      <c r="G104" s="587"/>
      <c r="H104" s="588"/>
    </row>
    <row r="105" spans="1:8" x14ac:dyDescent="0.25">
      <c r="A105" s="589">
        <v>19</v>
      </c>
      <c r="B105" s="590" t="s">
        <v>695</v>
      </c>
      <c r="C105" s="587"/>
      <c r="D105" s="230"/>
      <c r="E105" s="587"/>
      <c r="F105" s="587"/>
      <c r="G105" s="587"/>
      <c r="H105" s="588"/>
    </row>
    <row r="106" spans="1:8" x14ac:dyDescent="0.25">
      <c r="A106" s="586"/>
      <c r="B106" s="587"/>
      <c r="C106" s="587"/>
      <c r="D106" s="230"/>
      <c r="E106" s="587"/>
      <c r="F106" s="587"/>
      <c r="G106" s="587"/>
      <c r="H106" s="588"/>
    </row>
    <row r="107" spans="1:8" ht="26.1" customHeight="1" x14ac:dyDescent="0.25">
      <c r="A107" s="586"/>
      <c r="B107" s="876" t="s">
        <v>948</v>
      </c>
      <c r="C107" s="876"/>
      <c r="D107" s="876"/>
      <c r="E107" s="876"/>
      <c r="F107" s="587"/>
      <c r="G107" s="587"/>
      <c r="H107" s="588"/>
    </row>
    <row r="108" spans="1:8" x14ac:dyDescent="0.25">
      <c r="A108" s="586"/>
      <c r="B108" s="587"/>
      <c r="C108" s="587"/>
      <c r="D108" s="230"/>
      <c r="E108" s="587"/>
      <c r="F108" s="587"/>
      <c r="G108" s="587"/>
      <c r="H108" s="588"/>
    </row>
    <row r="109" spans="1:8" x14ac:dyDescent="0.25">
      <c r="A109" s="589">
        <v>20</v>
      </c>
      <c r="B109" s="590" t="s">
        <v>696</v>
      </c>
      <c r="C109" s="587"/>
      <c r="D109" s="230"/>
      <c r="E109" s="587"/>
      <c r="F109" s="587"/>
      <c r="G109" s="587"/>
      <c r="H109" s="588"/>
    </row>
    <row r="110" spans="1:8" x14ac:dyDescent="0.25">
      <c r="A110" s="586"/>
      <c r="B110" s="587"/>
      <c r="C110" s="587"/>
      <c r="D110" s="230"/>
      <c r="E110" s="587"/>
      <c r="F110" s="587"/>
      <c r="G110" s="587"/>
      <c r="H110" s="588"/>
    </row>
    <row r="111" spans="1:8" x14ac:dyDescent="0.25">
      <c r="A111" s="586"/>
      <c r="B111" s="587" t="s">
        <v>951</v>
      </c>
      <c r="C111" s="587"/>
      <c r="D111" s="230"/>
      <c r="E111" s="587"/>
      <c r="F111" s="587"/>
      <c r="G111" s="587"/>
      <c r="H111" s="588"/>
    </row>
    <row r="112" spans="1:8" ht="31.35" customHeight="1" x14ac:dyDescent="0.25">
      <c r="A112" s="586"/>
      <c r="B112" s="876" t="s">
        <v>697</v>
      </c>
      <c r="C112" s="876"/>
      <c r="D112" s="876"/>
      <c r="E112" s="876"/>
      <c r="F112" s="876"/>
      <c r="G112" s="587"/>
      <c r="H112" s="588"/>
    </row>
    <row r="113" spans="1:8" ht="13.8" thickBot="1" x14ac:dyDescent="0.3">
      <c r="A113" s="623"/>
      <c r="B113" s="624"/>
      <c r="C113" s="624"/>
      <c r="D113" s="625"/>
      <c r="E113" s="624"/>
      <c r="F113" s="624"/>
      <c r="G113" s="624"/>
      <c r="H113" s="626"/>
    </row>
    <row r="114" spans="1:8" x14ac:dyDescent="0.25">
      <c r="A114" s="587"/>
      <c r="B114" s="587"/>
      <c r="C114" s="587"/>
      <c r="D114" s="627"/>
      <c r="E114" s="587"/>
      <c r="F114" s="587"/>
      <c r="G114" s="587"/>
      <c r="H114" s="627"/>
    </row>
  </sheetData>
  <mergeCells count="25">
    <mergeCell ref="B26:C27"/>
    <mergeCell ref="D26:H26"/>
    <mergeCell ref="B112:F112"/>
    <mergeCell ref="B28:C28"/>
    <mergeCell ref="B29:C29"/>
    <mergeCell ref="B30:C30"/>
    <mergeCell ref="B31:C31"/>
    <mergeCell ref="B103:E103"/>
    <mergeCell ref="B107:E107"/>
    <mergeCell ref="B41:H41"/>
    <mergeCell ref="B65:F65"/>
    <mergeCell ref="B86:F87"/>
    <mergeCell ref="B99:F99"/>
    <mergeCell ref="B1:H1"/>
    <mergeCell ref="B15:C16"/>
    <mergeCell ref="D15:H15"/>
    <mergeCell ref="B17:C17"/>
    <mergeCell ref="B18:C18"/>
    <mergeCell ref="B9:C9"/>
    <mergeCell ref="B5:C6"/>
    <mergeCell ref="D5:E5"/>
    <mergeCell ref="F5:G5"/>
    <mergeCell ref="H5:H6"/>
    <mergeCell ref="B7:C7"/>
    <mergeCell ref="B8:C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zoomScale="80" zoomScaleNormal="80" zoomScaleSheetLayoutView="90" workbookViewId="0">
      <selection activeCell="P7" sqref="P7"/>
    </sheetView>
  </sheetViews>
  <sheetFormatPr defaultColWidth="9.33203125" defaultRowHeight="13.8" x14ac:dyDescent="0.25"/>
  <cols>
    <col min="1" max="1" width="9.33203125" style="261"/>
    <col min="2" max="2" width="59.44140625" style="261" bestFit="1" customWidth="1"/>
    <col min="3" max="3" width="16" style="261" customWidth="1"/>
    <col min="4" max="4" width="12.6640625" style="261" bestFit="1" customWidth="1"/>
    <col min="5" max="5" width="7.44140625" style="261" bestFit="1" customWidth="1"/>
    <col min="6" max="6" width="11.33203125" style="261" bestFit="1" customWidth="1"/>
    <col min="7" max="7" width="15" style="261" customWidth="1"/>
    <col min="8" max="8" width="15.44140625" style="261" customWidth="1"/>
    <col min="9" max="9" width="10" style="261" customWidth="1"/>
    <col min="10" max="10" width="11.5546875" style="261" bestFit="1" customWidth="1"/>
    <col min="11" max="16384" width="9.33203125" style="261"/>
  </cols>
  <sheetData>
    <row r="1" spans="1:10" ht="22.8" x14ac:dyDescent="0.25">
      <c r="A1" s="760" t="s">
        <v>270</v>
      </c>
      <c r="B1" s="760"/>
      <c r="C1" s="760"/>
      <c r="D1" s="760"/>
      <c r="E1" s="760"/>
      <c r="F1" s="760"/>
      <c r="G1" s="760"/>
      <c r="H1" s="760"/>
      <c r="I1" s="760"/>
      <c r="J1" s="760"/>
    </row>
    <row r="2" spans="1:10" ht="15" x14ac:dyDescent="0.25">
      <c r="A2" s="761" t="s">
        <v>88</v>
      </c>
      <c r="B2" s="761"/>
      <c r="C2" s="761"/>
      <c r="D2" s="761"/>
      <c r="E2" s="761"/>
      <c r="F2" s="761"/>
      <c r="G2" s="761"/>
      <c r="H2" s="761"/>
      <c r="I2" s="761"/>
      <c r="J2" s="761"/>
    </row>
    <row r="3" spans="1:10" ht="15" x14ac:dyDescent="0.25">
      <c r="A3" s="629"/>
      <c r="B3" s="629"/>
      <c r="C3" s="629"/>
      <c r="D3" s="629"/>
      <c r="E3" s="629"/>
      <c r="F3" s="629"/>
      <c r="G3" s="629"/>
      <c r="H3" s="629"/>
      <c r="I3" s="629"/>
      <c r="J3" s="629"/>
    </row>
    <row r="4" spans="1:10" x14ac:dyDescent="0.25">
      <c r="A4" s="306" t="s">
        <v>293</v>
      </c>
      <c r="B4" s="385" t="s">
        <v>336</v>
      </c>
      <c r="C4" s="300"/>
      <c r="D4" s="300"/>
      <c r="E4" s="300"/>
      <c r="F4" s="300"/>
      <c r="G4" s="300"/>
      <c r="H4" s="300"/>
      <c r="I4" s="300"/>
      <c r="J4" s="300"/>
    </row>
    <row r="5" spans="1:10" ht="42" customHeight="1" x14ac:dyDescent="0.25">
      <c r="A5" s="306"/>
      <c r="B5" s="886" t="s">
        <v>347</v>
      </c>
      <c r="C5" s="886"/>
      <c r="D5" s="886"/>
      <c r="E5" s="886"/>
      <c r="F5" s="886"/>
      <c r="G5" s="886"/>
      <c r="H5" s="886"/>
      <c r="I5" s="886"/>
      <c r="J5" s="886"/>
    </row>
    <row r="6" spans="1:10" x14ac:dyDescent="0.25">
      <c r="A6" s="300"/>
      <c r="B6" s="887" t="s">
        <v>0</v>
      </c>
      <c r="C6" s="887" t="s">
        <v>880</v>
      </c>
      <c r="D6" s="887"/>
      <c r="E6" s="887"/>
      <c r="F6" s="887"/>
      <c r="G6" s="887" t="s">
        <v>708</v>
      </c>
      <c r="H6" s="887"/>
      <c r="I6" s="887"/>
      <c r="J6" s="887"/>
    </row>
    <row r="7" spans="1:10" ht="32.25" customHeight="1" x14ac:dyDescent="0.25">
      <c r="A7" s="300"/>
      <c r="B7" s="887"/>
      <c r="C7" s="888" t="s">
        <v>337</v>
      </c>
      <c r="D7" s="888" t="s">
        <v>338</v>
      </c>
      <c r="E7" s="888"/>
      <c r="F7" s="888"/>
      <c r="G7" s="888" t="s">
        <v>337</v>
      </c>
      <c r="H7" s="888" t="s">
        <v>338</v>
      </c>
      <c r="I7" s="888"/>
      <c r="J7" s="888"/>
    </row>
    <row r="8" spans="1:10" x14ac:dyDescent="0.25">
      <c r="A8" s="300"/>
      <c r="B8" s="887"/>
      <c r="C8" s="888"/>
      <c r="D8" s="630" t="s">
        <v>339</v>
      </c>
      <c r="E8" s="630" t="s">
        <v>340</v>
      </c>
      <c r="F8" s="630" t="s">
        <v>341</v>
      </c>
      <c r="G8" s="888"/>
      <c r="H8" s="630" t="s">
        <v>339</v>
      </c>
      <c r="I8" s="630" t="s">
        <v>340</v>
      </c>
      <c r="J8" s="630" t="s">
        <v>341</v>
      </c>
    </row>
    <row r="9" spans="1:10" x14ac:dyDescent="0.25">
      <c r="A9" s="300"/>
      <c r="B9" s="631" t="s">
        <v>3</v>
      </c>
      <c r="C9" s="630"/>
      <c r="D9" s="630"/>
      <c r="E9" s="630"/>
      <c r="F9" s="630"/>
      <c r="G9" s="630"/>
      <c r="H9" s="630"/>
      <c r="I9" s="630"/>
      <c r="J9" s="630"/>
    </row>
    <row r="10" spans="1:10" x14ac:dyDescent="0.25">
      <c r="A10" s="300"/>
      <c r="B10" s="632"/>
      <c r="C10" s="633"/>
      <c r="D10" s="633"/>
      <c r="E10" s="633"/>
      <c r="F10" s="633"/>
      <c r="G10" s="633"/>
      <c r="H10" s="633"/>
      <c r="I10" s="633"/>
      <c r="J10" s="633"/>
    </row>
    <row r="11" spans="1:10" x14ac:dyDescent="0.25">
      <c r="A11" s="300"/>
      <c r="B11" s="634" t="s">
        <v>342</v>
      </c>
      <c r="C11" s="231"/>
      <c r="D11" s="231"/>
      <c r="E11" s="231"/>
      <c r="F11" s="231"/>
      <c r="G11" s="231"/>
      <c r="H11" s="231"/>
      <c r="I11" s="231"/>
      <c r="J11" s="231"/>
    </row>
    <row r="12" spans="1:10" x14ac:dyDescent="0.25">
      <c r="A12" s="300"/>
      <c r="B12" s="635" t="s">
        <v>343</v>
      </c>
      <c r="C12" s="231">
        <f>+BS!D15</f>
        <v>1685250.7921083337</v>
      </c>
      <c r="D12" s="231">
        <v>0</v>
      </c>
      <c r="E12" s="231">
        <v>0</v>
      </c>
      <c r="F12" s="231">
        <v>0</v>
      </c>
      <c r="G12" s="231">
        <v>1180842.959275</v>
      </c>
      <c r="H12" s="231"/>
      <c r="I12" s="231">
        <v>0</v>
      </c>
      <c r="J12" s="231">
        <v>0</v>
      </c>
    </row>
    <row r="13" spans="1:10" x14ac:dyDescent="0.25">
      <c r="A13" s="300"/>
      <c r="B13" s="635" t="s">
        <v>8</v>
      </c>
      <c r="C13" s="231">
        <f>+BS!D10</f>
        <v>283529968.20000005</v>
      </c>
      <c r="D13" s="231">
        <v>0</v>
      </c>
      <c r="E13" s="231">
        <v>0</v>
      </c>
      <c r="F13" s="231">
        <v>0</v>
      </c>
      <c r="G13" s="231">
        <v>91315112.170000002</v>
      </c>
      <c r="H13" s="231"/>
      <c r="I13" s="231">
        <v>0</v>
      </c>
      <c r="J13" s="231">
        <v>0</v>
      </c>
    </row>
    <row r="14" spans="1:10" x14ac:dyDescent="0.25">
      <c r="A14" s="300"/>
      <c r="B14" s="635" t="s">
        <v>351</v>
      </c>
      <c r="C14" s="231">
        <v>0</v>
      </c>
      <c r="D14" s="231">
        <v>0</v>
      </c>
      <c r="E14" s="231">
        <v>0</v>
      </c>
      <c r="F14" s="231">
        <v>0</v>
      </c>
      <c r="G14" s="231">
        <v>0</v>
      </c>
      <c r="H14" s="231">
        <v>0</v>
      </c>
      <c r="I14" s="231">
        <v>0</v>
      </c>
      <c r="J14" s="231">
        <v>0</v>
      </c>
    </row>
    <row r="15" spans="1:10" x14ac:dyDescent="0.25">
      <c r="A15" s="300"/>
      <c r="B15" s="635"/>
      <c r="C15" s="231"/>
      <c r="D15" s="231"/>
      <c r="E15" s="231"/>
      <c r="F15" s="231"/>
      <c r="G15" s="231"/>
      <c r="H15" s="231"/>
      <c r="I15" s="231"/>
      <c r="J15" s="231"/>
    </row>
    <row r="16" spans="1:10" x14ac:dyDescent="0.25">
      <c r="A16" s="300"/>
      <c r="B16" s="634" t="s">
        <v>348</v>
      </c>
      <c r="C16" s="231"/>
      <c r="D16" s="231"/>
      <c r="E16" s="231"/>
      <c r="F16" s="231"/>
      <c r="G16" s="231"/>
      <c r="H16" s="231"/>
      <c r="I16" s="231"/>
      <c r="J16" s="231"/>
    </row>
    <row r="17" spans="1:10" x14ac:dyDescent="0.25">
      <c r="A17" s="300"/>
      <c r="B17" s="635" t="s">
        <v>345</v>
      </c>
      <c r="C17" s="231">
        <f>+'bs Notes'!J50</f>
        <v>0</v>
      </c>
      <c r="D17" s="231">
        <f>+C17</f>
        <v>0</v>
      </c>
      <c r="E17" s="231">
        <v>0</v>
      </c>
      <c r="F17" s="231">
        <v>0</v>
      </c>
      <c r="G17" s="231">
        <f>+'bs Notes'!L50</f>
        <v>0</v>
      </c>
      <c r="H17" s="231">
        <f>+G17</f>
        <v>0</v>
      </c>
      <c r="I17" s="231">
        <v>0</v>
      </c>
      <c r="J17" s="231">
        <v>0</v>
      </c>
    </row>
    <row r="18" spans="1:10" x14ac:dyDescent="0.25">
      <c r="A18" s="300"/>
      <c r="B18" s="635" t="s">
        <v>344</v>
      </c>
      <c r="C18" s="231">
        <v>0</v>
      </c>
      <c r="D18" s="231">
        <f>+C18</f>
        <v>0</v>
      </c>
      <c r="E18" s="231">
        <v>0</v>
      </c>
      <c r="F18" s="231">
        <v>0</v>
      </c>
      <c r="G18" s="231">
        <v>0</v>
      </c>
      <c r="H18" s="231">
        <f>+G18</f>
        <v>0</v>
      </c>
      <c r="I18" s="231">
        <v>0</v>
      </c>
      <c r="J18" s="231">
        <v>0</v>
      </c>
    </row>
    <row r="19" spans="1:10" x14ac:dyDescent="0.25">
      <c r="A19" s="300"/>
      <c r="B19" s="635" t="s">
        <v>346</v>
      </c>
      <c r="C19" s="231">
        <v>0</v>
      </c>
      <c r="D19" s="231">
        <f>+C19</f>
        <v>0</v>
      </c>
      <c r="E19" s="231">
        <v>0</v>
      </c>
      <c r="F19" s="231">
        <v>0</v>
      </c>
      <c r="G19" s="231">
        <v>0</v>
      </c>
      <c r="H19" s="231">
        <f>+G19</f>
        <v>0</v>
      </c>
      <c r="I19" s="231">
        <v>0</v>
      </c>
      <c r="J19" s="231">
        <v>0</v>
      </c>
    </row>
    <row r="20" spans="1:10" x14ac:dyDescent="0.25">
      <c r="A20" s="300"/>
      <c r="B20" s="635"/>
      <c r="C20" s="231"/>
      <c r="D20" s="231"/>
      <c r="E20" s="231"/>
      <c r="F20" s="231"/>
      <c r="G20" s="231"/>
      <c r="H20" s="231"/>
      <c r="I20" s="231"/>
      <c r="J20" s="231"/>
    </row>
    <row r="21" spans="1:10" x14ac:dyDescent="0.25">
      <c r="A21" s="300"/>
      <c r="B21" s="634" t="s">
        <v>349</v>
      </c>
      <c r="C21" s="231"/>
      <c r="D21" s="231"/>
      <c r="E21" s="231"/>
      <c r="F21" s="231"/>
      <c r="G21" s="231"/>
      <c r="H21" s="231"/>
      <c r="I21" s="231"/>
      <c r="J21" s="231"/>
    </row>
    <row r="22" spans="1:10" x14ac:dyDescent="0.25">
      <c r="A22" s="300"/>
      <c r="B22" s="635" t="s">
        <v>350</v>
      </c>
      <c r="C22" s="231">
        <v>0</v>
      </c>
      <c r="D22" s="231">
        <v>0</v>
      </c>
      <c r="E22" s="231">
        <v>0</v>
      </c>
      <c r="F22" s="231">
        <f>+C22</f>
        <v>0</v>
      </c>
      <c r="G22" s="231">
        <v>0</v>
      </c>
      <c r="H22" s="231">
        <v>0</v>
      </c>
      <c r="I22" s="231">
        <v>0</v>
      </c>
      <c r="J22" s="231">
        <f>+G22</f>
        <v>0</v>
      </c>
    </row>
    <row r="23" spans="1:10" x14ac:dyDescent="0.25">
      <c r="A23" s="300"/>
      <c r="B23" s="635"/>
      <c r="C23" s="231"/>
      <c r="D23" s="231"/>
      <c r="E23" s="231"/>
      <c r="F23" s="231"/>
      <c r="G23" s="231"/>
      <c r="H23" s="231"/>
      <c r="I23" s="231"/>
      <c r="J23" s="231"/>
    </row>
    <row r="24" spans="1:10" x14ac:dyDescent="0.25">
      <c r="A24" s="300"/>
      <c r="B24" s="631" t="s">
        <v>15</v>
      </c>
      <c r="C24" s="231"/>
      <c r="D24" s="231"/>
      <c r="E24" s="231"/>
      <c r="F24" s="231"/>
      <c r="G24" s="231"/>
      <c r="H24" s="231"/>
      <c r="I24" s="231"/>
      <c r="J24" s="231"/>
    </row>
    <row r="25" spans="1:10" x14ac:dyDescent="0.25">
      <c r="A25" s="300"/>
      <c r="B25" s="631"/>
      <c r="C25" s="231"/>
      <c r="D25" s="231"/>
      <c r="E25" s="231"/>
      <c r="F25" s="231"/>
      <c r="G25" s="231"/>
      <c r="H25" s="231"/>
      <c r="I25" s="231"/>
      <c r="J25" s="231"/>
    </row>
    <row r="26" spans="1:10" x14ac:dyDescent="0.25">
      <c r="A26" s="300"/>
      <c r="B26" s="634" t="s">
        <v>342</v>
      </c>
      <c r="C26" s="231"/>
      <c r="D26" s="231"/>
      <c r="E26" s="231"/>
      <c r="F26" s="231"/>
      <c r="G26" s="231"/>
      <c r="H26" s="231"/>
      <c r="I26" s="231"/>
      <c r="J26" s="231"/>
    </row>
    <row r="27" spans="1:10" x14ac:dyDescent="0.25">
      <c r="A27" s="300"/>
      <c r="B27" s="636" t="s">
        <v>915</v>
      </c>
      <c r="C27" s="231">
        <f>BS!D25</f>
        <v>213553000</v>
      </c>
      <c r="D27" s="231">
        <v>0</v>
      </c>
      <c r="E27" s="231">
        <v>0</v>
      </c>
      <c r="F27" s="231">
        <v>0</v>
      </c>
      <c r="G27" s="231">
        <f>BS!E25</f>
        <v>1850000</v>
      </c>
      <c r="H27" s="231">
        <v>0</v>
      </c>
      <c r="I27" s="231">
        <v>0</v>
      </c>
      <c r="J27" s="231">
        <v>0</v>
      </c>
    </row>
    <row r="28" spans="1:10" x14ac:dyDescent="0.25">
      <c r="A28" s="300"/>
      <c r="B28" s="637" t="s">
        <v>916</v>
      </c>
      <c r="C28" s="231">
        <f>BS!D26</f>
        <v>44570000</v>
      </c>
      <c r="D28" s="231"/>
      <c r="E28" s="231"/>
      <c r="F28" s="231"/>
      <c r="G28" s="231">
        <v>3300000</v>
      </c>
      <c r="H28" s="231"/>
      <c r="I28" s="231"/>
      <c r="J28" s="231"/>
    </row>
    <row r="29" spans="1:10" x14ac:dyDescent="0.25">
      <c r="A29" s="300"/>
      <c r="B29" s="369"/>
      <c r="C29" s="638"/>
      <c r="D29" s="638"/>
      <c r="E29" s="638"/>
      <c r="F29" s="638"/>
      <c r="G29" s="638"/>
      <c r="H29" s="638"/>
      <c r="I29" s="638"/>
      <c r="J29" s="639"/>
    </row>
    <row r="30" spans="1:10" ht="51.75" customHeight="1" x14ac:dyDescent="0.25">
      <c r="A30" s="300"/>
      <c r="B30" s="880" t="s">
        <v>1049</v>
      </c>
      <c r="C30" s="881"/>
      <c r="D30" s="881"/>
      <c r="E30" s="881"/>
      <c r="F30" s="881"/>
      <c r="G30" s="881"/>
      <c r="H30" s="881"/>
      <c r="I30" s="881"/>
      <c r="J30" s="882"/>
    </row>
    <row r="31" spans="1:10" ht="51" customHeight="1" x14ac:dyDescent="0.25">
      <c r="A31" s="300"/>
      <c r="B31" s="880" t="s">
        <v>1050</v>
      </c>
      <c r="C31" s="881"/>
      <c r="D31" s="881"/>
      <c r="E31" s="881"/>
      <c r="F31" s="881"/>
      <c r="G31" s="881"/>
      <c r="H31" s="881"/>
      <c r="I31" s="881"/>
      <c r="J31" s="882"/>
    </row>
    <row r="32" spans="1:10" ht="32.25" customHeight="1" x14ac:dyDescent="0.25">
      <c r="A32" s="300"/>
      <c r="B32" s="883" t="s">
        <v>1051</v>
      </c>
      <c r="C32" s="884"/>
      <c r="D32" s="884"/>
      <c r="E32" s="884"/>
      <c r="F32" s="884"/>
      <c r="G32" s="884"/>
      <c r="H32" s="884"/>
      <c r="I32" s="884"/>
      <c r="J32" s="885"/>
    </row>
  </sheetData>
  <mergeCells count="13">
    <mergeCell ref="A1:J1"/>
    <mergeCell ref="A2:J2"/>
    <mergeCell ref="B31:J31"/>
    <mergeCell ref="B32:J32"/>
    <mergeCell ref="B5:J5"/>
    <mergeCell ref="B30:J30"/>
    <mergeCell ref="B6:B8"/>
    <mergeCell ref="C6:F6"/>
    <mergeCell ref="G6:J6"/>
    <mergeCell ref="D7:F7"/>
    <mergeCell ref="H7:J7"/>
    <mergeCell ref="C7:C8"/>
    <mergeCell ref="G7:G8"/>
  </mergeCells>
  <printOptions horizontalCentered="1"/>
  <pageMargins left="0.19685039370078741" right="0.19685039370078741" top="0.19685039370078741" bottom="0.19685039370078741" header="0" footer="0"/>
  <pageSetup paperSize="9" scale="91"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1"/>
  <sheetViews>
    <sheetView topLeftCell="A123" zoomScaleNormal="100" zoomScaleSheetLayoutView="80" workbookViewId="0">
      <selection activeCell="K41" sqref="K41"/>
    </sheetView>
  </sheetViews>
  <sheetFormatPr defaultColWidth="9.33203125" defaultRowHeight="13.8" x14ac:dyDescent="0.25"/>
  <cols>
    <col min="1" max="1" width="9.33203125" style="261"/>
    <col min="2" max="2" width="43.44140625" style="261" customWidth="1"/>
    <col min="3" max="3" width="10.33203125" style="261" customWidth="1"/>
    <col min="4" max="4" width="14.5546875" style="261" customWidth="1"/>
    <col min="5" max="5" width="14.6640625" style="261" bestFit="1" customWidth="1"/>
    <col min="6" max="6" width="12.44140625" style="261" customWidth="1"/>
    <col min="7" max="7" width="23" style="261" customWidth="1"/>
    <col min="8" max="8" width="23.33203125" style="261" customWidth="1"/>
    <col min="9" max="9" width="22.109375" style="261" customWidth="1"/>
    <col min="10" max="16384" width="9.33203125" style="261"/>
  </cols>
  <sheetData>
    <row r="1" spans="1:14" ht="22.8" x14ac:dyDescent="0.25">
      <c r="A1" s="760" t="s">
        <v>270</v>
      </c>
      <c r="B1" s="760"/>
      <c r="C1" s="760"/>
      <c r="D1" s="760"/>
      <c r="E1" s="760"/>
      <c r="F1" s="760"/>
      <c r="G1" s="760"/>
      <c r="H1" s="760"/>
      <c r="I1" s="760"/>
      <c r="J1" s="513"/>
      <c r="K1" s="513"/>
      <c r="L1" s="513"/>
      <c r="M1" s="513"/>
      <c r="N1" s="513"/>
    </row>
    <row r="2" spans="1:14" ht="15" x14ac:dyDescent="0.25">
      <c r="A2" s="761" t="s">
        <v>88</v>
      </c>
      <c r="B2" s="761"/>
      <c r="C2" s="761"/>
      <c r="D2" s="761"/>
      <c r="E2" s="761"/>
      <c r="F2" s="761"/>
      <c r="G2" s="761"/>
      <c r="H2" s="761"/>
      <c r="I2" s="761"/>
      <c r="J2" s="514"/>
      <c r="K2" s="514"/>
      <c r="L2" s="514"/>
      <c r="M2" s="514"/>
      <c r="N2" s="514"/>
    </row>
    <row r="3" spans="1:14" ht="15" x14ac:dyDescent="0.25">
      <c r="A3" s="629"/>
      <c r="B3" s="629"/>
      <c r="C3" s="629"/>
      <c r="D3" s="629"/>
      <c r="E3" s="629"/>
      <c r="F3" s="629"/>
      <c r="G3" s="629"/>
      <c r="H3" s="629"/>
      <c r="I3" s="629"/>
      <c r="J3" s="640"/>
      <c r="K3" s="640"/>
      <c r="L3" s="640"/>
      <c r="M3" s="640"/>
    </row>
    <row r="4" spans="1:14" x14ac:dyDescent="0.25">
      <c r="A4" s="306" t="s">
        <v>353</v>
      </c>
      <c r="B4" s="306" t="s">
        <v>335</v>
      </c>
      <c r="C4" s="300"/>
      <c r="D4" s="300"/>
      <c r="E4" s="300"/>
      <c r="F4" s="300"/>
      <c r="G4" s="300"/>
      <c r="H4" s="300"/>
      <c r="I4" s="300"/>
    </row>
    <row r="5" spans="1:14" x14ac:dyDescent="0.25">
      <c r="A5" s="300"/>
      <c r="B5" s="917" t="s">
        <v>407</v>
      </c>
      <c r="C5" s="917"/>
      <c r="D5" s="917"/>
      <c r="E5" s="917"/>
      <c r="F5" s="917"/>
      <c r="G5" s="917"/>
      <c r="H5" s="917"/>
      <c r="I5" s="917"/>
    </row>
    <row r="6" spans="1:14" ht="82.8" x14ac:dyDescent="0.25">
      <c r="A6" s="300"/>
      <c r="B6" s="641" t="s">
        <v>312</v>
      </c>
      <c r="C6" s="913" t="s">
        <v>313</v>
      </c>
      <c r="D6" s="914"/>
      <c r="E6" s="641" t="s">
        <v>314</v>
      </c>
      <c r="F6" s="641" t="s">
        <v>315</v>
      </c>
      <c r="G6" s="641" t="s">
        <v>316</v>
      </c>
      <c r="H6" s="641" t="s">
        <v>317</v>
      </c>
      <c r="I6" s="642" t="s">
        <v>1052</v>
      </c>
    </row>
    <row r="7" spans="1:14" x14ac:dyDescent="0.25">
      <c r="A7" s="300"/>
      <c r="B7" s="643">
        <v>-1</v>
      </c>
      <c r="C7" s="915">
        <v>-2</v>
      </c>
      <c r="D7" s="916"/>
      <c r="E7" s="643">
        <v>-3</v>
      </c>
      <c r="F7" s="643">
        <v>-4</v>
      </c>
      <c r="G7" s="644" t="s">
        <v>318</v>
      </c>
      <c r="H7" s="643">
        <v>-6</v>
      </c>
      <c r="I7" s="644" t="s">
        <v>319</v>
      </c>
    </row>
    <row r="8" spans="1:14" x14ac:dyDescent="0.25">
      <c r="A8" s="300"/>
      <c r="B8" s="645" t="s">
        <v>320</v>
      </c>
      <c r="C8" s="898"/>
      <c r="D8" s="899"/>
      <c r="E8" s="646"/>
      <c r="F8" s="646"/>
      <c r="G8" s="646"/>
      <c r="H8" s="646"/>
      <c r="I8" s="646"/>
    </row>
    <row r="9" spans="1:14" x14ac:dyDescent="0.25">
      <c r="A9" s="300"/>
      <c r="B9" s="908" t="s">
        <v>321</v>
      </c>
      <c r="C9" s="900" t="s">
        <v>322</v>
      </c>
      <c r="D9" s="901"/>
      <c r="E9" s="232">
        <v>281201113.20000005</v>
      </c>
      <c r="F9" s="232">
        <f>H9</f>
        <v>703002.78300000017</v>
      </c>
      <c r="G9" s="232">
        <f>+E9-F9</f>
        <v>280498110.41700006</v>
      </c>
      <c r="H9" s="232">
        <f>'provision '!G8</f>
        <v>703002.78300000017</v>
      </c>
      <c r="I9" s="232">
        <f>+F9-H9</f>
        <v>0</v>
      </c>
    </row>
    <row r="10" spans="1:14" x14ac:dyDescent="0.25">
      <c r="A10" s="300"/>
      <c r="B10" s="910"/>
      <c r="C10" s="900" t="s">
        <v>323</v>
      </c>
      <c r="D10" s="901"/>
      <c r="E10" s="232">
        <v>0</v>
      </c>
      <c r="F10" s="232">
        <v>0</v>
      </c>
      <c r="G10" s="232">
        <v>0</v>
      </c>
      <c r="H10" s="232">
        <v>0</v>
      </c>
      <c r="I10" s="232">
        <v>0</v>
      </c>
    </row>
    <row r="11" spans="1:14" x14ac:dyDescent="0.25">
      <c r="A11" s="300"/>
      <c r="B11" s="647" t="s">
        <v>324</v>
      </c>
      <c r="C11" s="896"/>
      <c r="D11" s="897"/>
      <c r="E11" s="233">
        <f>SUM(E9:E10)</f>
        <v>281201113.20000005</v>
      </c>
      <c r="F11" s="233">
        <f>SUM(F9:F10)</f>
        <v>703002.78300000017</v>
      </c>
      <c r="G11" s="233">
        <f>SUM(G9:G10)</f>
        <v>280498110.41700006</v>
      </c>
      <c r="H11" s="233">
        <f>SUM(H9:H10)</f>
        <v>703002.78300000017</v>
      </c>
      <c r="I11" s="233">
        <f>SUM(I9:I10)</f>
        <v>0</v>
      </c>
    </row>
    <row r="12" spans="1:14" x14ac:dyDescent="0.25">
      <c r="A12" s="300"/>
      <c r="B12" s="646"/>
      <c r="C12" s="898"/>
      <c r="D12" s="899"/>
      <c r="E12" s="232"/>
      <c r="F12" s="232"/>
      <c r="G12" s="232"/>
      <c r="H12" s="232"/>
      <c r="I12" s="232"/>
    </row>
    <row r="13" spans="1:14" x14ac:dyDescent="0.25">
      <c r="A13" s="300"/>
      <c r="B13" s="647" t="s">
        <v>325</v>
      </c>
      <c r="C13" s="898"/>
      <c r="D13" s="899"/>
      <c r="E13" s="232"/>
      <c r="F13" s="232"/>
      <c r="G13" s="232"/>
      <c r="H13" s="232"/>
      <c r="I13" s="232"/>
    </row>
    <row r="14" spans="1:14" x14ac:dyDescent="0.25">
      <c r="A14" s="300"/>
      <c r="B14" s="648" t="s">
        <v>326</v>
      </c>
      <c r="C14" s="900" t="s">
        <v>327</v>
      </c>
      <c r="D14" s="901"/>
      <c r="E14" s="649">
        <v>2328855</v>
      </c>
      <c r="F14" s="232">
        <f>H14</f>
        <v>232885.5</v>
      </c>
      <c r="G14" s="232">
        <f>+E14-F14</f>
        <v>2095969.5</v>
      </c>
      <c r="H14" s="232">
        <f>'provision '!G9</f>
        <v>232885.5</v>
      </c>
      <c r="I14" s="232">
        <f>+F14-H14</f>
        <v>0</v>
      </c>
    </row>
    <row r="15" spans="1:14" x14ac:dyDescent="0.25">
      <c r="A15" s="300"/>
      <c r="B15" s="646"/>
      <c r="C15" s="898"/>
      <c r="D15" s="899"/>
      <c r="E15" s="232"/>
      <c r="F15" s="232"/>
      <c r="G15" s="232"/>
      <c r="H15" s="232"/>
      <c r="I15" s="232"/>
    </row>
    <row r="16" spans="1:14" x14ac:dyDescent="0.25">
      <c r="A16" s="300"/>
      <c r="B16" s="648" t="s">
        <v>328</v>
      </c>
      <c r="C16" s="900" t="s">
        <v>327</v>
      </c>
      <c r="D16" s="901"/>
      <c r="E16" s="232">
        <v>0</v>
      </c>
      <c r="F16" s="232">
        <v>0</v>
      </c>
      <c r="G16" s="232">
        <v>0</v>
      </c>
      <c r="H16" s="232">
        <v>0</v>
      </c>
      <c r="I16" s="232">
        <v>0</v>
      </c>
    </row>
    <row r="17" spans="1:9" x14ac:dyDescent="0.25">
      <c r="A17" s="300"/>
      <c r="B17" s="648" t="s">
        <v>329</v>
      </c>
      <c r="C17" s="900" t="s">
        <v>327</v>
      </c>
      <c r="D17" s="901"/>
      <c r="E17" s="232">
        <v>0</v>
      </c>
      <c r="F17" s="232">
        <v>0</v>
      </c>
      <c r="G17" s="232">
        <v>0</v>
      </c>
      <c r="H17" s="232">
        <v>0</v>
      </c>
      <c r="I17" s="232">
        <v>0</v>
      </c>
    </row>
    <row r="18" spans="1:9" x14ac:dyDescent="0.25">
      <c r="A18" s="300"/>
      <c r="B18" s="648" t="s">
        <v>330</v>
      </c>
      <c r="C18" s="900" t="s">
        <v>327</v>
      </c>
      <c r="D18" s="901"/>
      <c r="E18" s="232">
        <v>0</v>
      </c>
      <c r="F18" s="232">
        <v>0</v>
      </c>
      <c r="G18" s="232">
        <v>0</v>
      </c>
      <c r="H18" s="232">
        <v>0</v>
      </c>
      <c r="I18" s="232">
        <v>0</v>
      </c>
    </row>
    <row r="19" spans="1:9" x14ac:dyDescent="0.25">
      <c r="A19" s="300"/>
      <c r="B19" s="647" t="s">
        <v>331</v>
      </c>
      <c r="C19" s="896"/>
      <c r="D19" s="897"/>
      <c r="E19" s="233">
        <v>0</v>
      </c>
      <c r="F19" s="233">
        <v>0</v>
      </c>
      <c r="G19" s="233">
        <v>0</v>
      </c>
      <c r="H19" s="233">
        <v>0</v>
      </c>
      <c r="I19" s="233">
        <v>0</v>
      </c>
    </row>
    <row r="20" spans="1:9" x14ac:dyDescent="0.25">
      <c r="A20" s="300"/>
      <c r="B20" s="646"/>
      <c r="C20" s="898"/>
      <c r="D20" s="899"/>
      <c r="E20" s="232"/>
      <c r="F20" s="232"/>
      <c r="G20" s="232"/>
      <c r="H20" s="232"/>
      <c r="I20" s="232"/>
    </row>
    <row r="21" spans="1:9" x14ac:dyDescent="0.25">
      <c r="A21" s="300"/>
      <c r="B21" s="648" t="s">
        <v>332</v>
      </c>
      <c r="C21" s="900" t="s">
        <v>327</v>
      </c>
      <c r="D21" s="901"/>
      <c r="E21" s="232">
        <v>0</v>
      </c>
      <c r="F21" s="232">
        <v>0</v>
      </c>
      <c r="G21" s="232">
        <v>0</v>
      </c>
      <c r="H21" s="232">
        <v>0</v>
      </c>
      <c r="I21" s="232">
        <v>0</v>
      </c>
    </row>
    <row r="22" spans="1:9" x14ac:dyDescent="0.25">
      <c r="A22" s="300"/>
      <c r="B22" s="648" t="s">
        <v>333</v>
      </c>
      <c r="C22" s="898"/>
      <c r="D22" s="899"/>
      <c r="E22" s="232"/>
      <c r="F22" s="232"/>
      <c r="G22" s="232"/>
      <c r="H22" s="232"/>
      <c r="I22" s="232"/>
    </row>
    <row r="23" spans="1:9" x14ac:dyDescent="0.25">
      <c r="A23" s="300"/>
      <c r="B23" s="646"/>
      <c r="C23" s="898"/>
      <c r="D23" s="899"/>
      <c r="E23" s="232"/>
      <c r="F23" s="232"/>
      <c r="G23" s="232"/>
      <c r="H23" s="232"/>
      <c r="I23" s="232"/>
    </row>
    <row r="24" spans="1:9" x14ac:dyDescent="0.25">
      <c r="A24" s="300"/>
      <c r="B24" s="908" t="s">
        <v>334</v>
      </c>
      <c r="C24" s="900" t="s">
        <v>322</v>
      </c>
      <c r="D24" s="901"/>
      <c r="E24" s="232">
        <v>0</v>
      </c>
      <c r="F24" s="232">
        <v>0</v>
      </c>
      <c r="G24" s="232">
        <v>0</v>
      </c>
      <c r="H24" s="232">
        <v>0</v>
      </c>
      <c r="I24" s="232">
        <v>0</v>
      </c>
    </row>
    <row r="25" spans="1:9" x14ac:dyDescent="0.25">
      <c r="A25" s="300"/>
      <c r="B25" s="909"/>
      <c r="C25" s="900" t="s">
        <v>323</v>
      </c>
      <c r="D25" s="901"/>
      <c r="E25" s="232">
        <v>0</v>
      </c>
      <c r="F25" s="232">
        <v>0</v>
      </c>
      <c r="G25" s="232">
        <v>0</v>
      </c>
      <c r="H25" s="232">
        <v>0</v>
      </c>
      <c r="I25" s="232">
        <v>0</v>
      </c>
    </row>
    <row r="26" spans="1:9" ht="42.6" customHeight="1" x14ac:dyDescent="0.25">
      <c r="A26" s="300"/>
      <c r="B26" s="910"/>
      <c r="C26" s="911" t="s">
        <v>327</v>
      </c>
      <c r="D26" s="912"/>
      <c r="E26" s="234">
        <v>0</v>
      </c>
      <c r="F26" s="234">
        <v>0</v>
      </c>
      <c r="G26" s="234">
        <v>0</v>
      </c>
      <c r="H26" s="234">
        <v>0</v>
      </c>
      <c r="I26" s="234">
        <v>0</v>
      </c>
    </row>
    <row r="27" spans="1:9" x14ac:dyDescent="0.25">
      <c r="A27" s="300"/>
      <c r="B27" s="647" t="s">
        <v>324</v>
      </c>
      <c r="C27" s="896"/>
      <c r="D27" s="897"/>
      <c r="E27" s="233">
        <v>0</v>
      </c>
      <c r="F27" s="233">
        <v>0</v>
      </c>
      <c r="G27" s="233">
        <v>0</v>
      </c>
      <c r="H27" s="233">
        <v>0</v>
      </c>
      <c r="I27" s="233">
        <v>0</v>
      </c>
    </row>
    <row r="28" spans="1:9" x14ac:dyDescent="0.25">
      <c r="A28" s="300"/>
      <c r="B28" s="646"/>
      <c r="C28" s="898"/>
      <c r="D28" s="899"/>
      <c r="E28" s="232"/>
      <c r="F28" s="232"/>
      <c r="G28" s="232"/>
      <c r="H28" s="232"/>
      <c r="I28" s="232"/>
    </row>
    <row r="29" spans="1:9" x14ac:dyDescent="0.25">
      <c r="A29" s="300"/>
      <c r="B29" s="921" t="s">
        <v>203</v>
      </c>
      <c r="C29" s="919" t="s">
        <v>322</v>
      </c>
      <c r="D29" s="920"/>
      <c r="E29" s="232">
        <f>+E11</f>
        <v>281201113.20000005</v>
      </c>
      <c r="F29" s="232">
        <f>+F11</f>
        <v>703002.78300000017</v>
      </c>
      <c r="G29" s="232">
        <f>+G11</f>
        <v>280498110.41700006</v>
      </c>
      <c r="H29" s="232">
        <f>+H11</f>
        <v>703002.78300000017</v>
      </c>
      <c r="I29" s="232">
        <f>+I11</f>
        <v>0</v>
      </c>
    </row>
    <row r="30" spans="1:9" x14ac:dyDescent="0.25">
      <c r="A30" s="300"/>
      <c r="B30" s="922"/>
      <c r="C30" s="919" t="s">
        <v>323</v>
      </c>
      <c r="D30" s="920"/>
      <c r="E30" s="232">
        <v>0</v>
      </c>
      <c r="F30" s="232">
        <v>0</v>
      </c>
      <c r="G30" s="232">
        <v>0</v>
      </c>
      <c r="H30" s="232">
        <v>0</v>
      </c>
      <c r="I30" s="232">
        <v>0</v>
      </c>
    </row>
    <row r="31" spans="1:9" x14ac:dyDescent="0.25">
      <c r="A31" s="300"/>
      <c r="B31" s="922"/>
      <c r="C31" s="919" t="s">
        <v>327</v>
      </c>
      <c r="D31" s="920"/>
      <c r="E31" s="232">
        <f>E14</f>
        <v>2328855</v>
      </c>
      <c r="F31" s="232">
        <f>F14</f>
        <v>232885.5</v>
      </c>
      <c r="G31" s="232">
        <f>G14</f>
        <v>2095969.5</v>
      </c>
      <c r="H31" s="232">
        <f>H14</f>
        <v>232885.5</v>
      </c>
      <c r="I31" s="232">
        <v>0</v>
      </c>
    </row>
    <row r="32" spans="1:9" x14ac:dyDescent="0.25">
      <c r="A32" s="300"/>
      <c r="B32" s="923"/>
      <c r="C32" s="919" t="s">
        <v>203</v>
      </c>
      <c r="D32" s="920"/>
      <c r="E32" s="233">
        <f>SUM(E29:E31)</f>
        <v>283529968.20000005</v>
      </c>
      <c r="F32" s="233">
        <f>SUM(F29:F31)</f>
        <v>935888.28300000017</v>
      </c>
      <c r="G32" s="233">
        <f>SUM(G29:G31)</f>
        <v>282594079.91700006</v>
      </c>
      <c r="H32" s="233">
        <f>SUM(H29:H31)</f>
        <v>935888.28300000017</v>
      </c>
      <c r="I32" s="232">
        <f>SUM(I29:I31)</f>
        <v>0</v>
      </c>
    </row>
    <row r="33" spans="1:9" x14ac:dyDescent="0.25">
      <c r="A33" s="300"/>
      <c r="B33" s="300"/>
      <c r="C33" s="300"/>
      <c r="D33" s="300"/>
      <c r="E33" s="300"/>
      <c r="F33" s="300"/>
      <c r="G33" s="300"/>
      <c r="H33" s="300"/>
      <c r="I33" s="300"/>
    </row>
    <row r="34" spans="1:9" x14ac:dyDescent="0.25">
      <c r="A34" s="306" t="s">
        <v>418</v>
      </c>
      <c r="B34" s="918" t="s">
        <v>471</v>
      </c>
      <c r="C34" s="918"/>
      <c r="D34" s="918"/>
      <c r="E34" s="918"/>
      <c r="F34" s="918"/>
      <c r="G34" s="918"/>
      <c r="H34" s="918"/>
      <c r="I34" s="918"/>
    </row>
    <row r="35" spans="1:9" x14ac:dyDescent="0.25">
      <c r="A35" s="300"/>
      <c r="B35" s="918"/>
      <c r="C35" s="918"/>
      <c r="D35" s="918"/>
      <c r="E35" s="918"/>
      <c r="F35" s="918"/>
      <c r="G35" s="918"/>
      <c r="H35" s="918"/>
      <c r="I35" s="918"/>
    </row>
    <row r="36" spans="1:9" x14ac:dyDescent="0.25">
      <c r="A36" s="300"/>
      <c r="B36" s="300"/>
      <c r="C36" s="300"/>
      <c r="D36" s="300"/>
      <c r="E36" s="300"/>
      <c r="F36" s="300"/>
      <c r="G36" s="300"/>
      <c r="H36" s="300"/>
      <c r="I36" s="300"/>
    </row>
    <row r="37" spans="1:9" ht="15" customHeight="1" x14ac:dyDescent="0.25">
      <c r="A37" s="300"/>
      <c r="B37" s="890" t="s">
        <v>0</v>
      </c>
      <c r="C37" s="891"/>
      <c r="D37" s="891"/>
      <c r="E37" s="891"/>
      <c r="F37" s="892"/>
      <c r="G37" s="824" t="s">
        <v>355</v>
      </c>
      <c r="H37" s="889"/>
      <c r="I37" s="300"/>
    </row>
    <row r="38" spans="1:9" x14ac:dyDescent="0.25">
      <c r="A38" s="300"/>
      <c r="B38" s="893"/>
      <c r="C38" s="894"/>
      <c r="D38" s="894"/>
      <c r="E38" s="894"/>
      <c r="F38" s="895"/>
      <c r="G38" s="519" t="s">
        <v>882</v>
      </c>
      <c r="H38" s="519" t="s">
        <v>706</v>
      </c>
      <c r="I38" s="300"/>
    </row>
    <row r="39" spans="1:9" x14ac:dyDescent="0.25">
      <c r="A39" s="300"/>
      <c r="B39" s="925" t="s">
        <v>354</v>
      </c>
      <c r="C39" s="926"/>
      <c r="D39" s="926"/>
      <c r="E39" s="926"/>
      <c r="F39" s="927"/>
      <c r="G39" s="650"/>
      <c r="H39" s="650"/>
      <c r="I39" s="300"/>
    </row>
    <row r="40" spans="1:9" ht="29.25" customHeight="1" x14ac:dyDescent="0.25">
      <c r="A40" s="300"/>
      <c r="B40" s="924" t="s">
        <v>1064</v>
      </c>
      <c r="C40" s="918"/>
      <c r="D40" s="918"/>
      <c r="E40" s="918"/>
      <c r="F40" s="928"/>
      <c r="G40" s="651"/>
      <c r="H40" s="651"/>
      <c r="I40" s="300"/>
    </row>
    <row r="41" spans="1:9" x14ac:dyDescent="0.25">
      <c r="A41" s="300"/>
      <c r="B41" s="902" t="s">
        <v>356</v>
      </c>
      <c r="C41" s="903"/>
      <c r="D41" s="903"/>
      <c r="E41" s="903"/>
      <c r="F41" s="904"/>
      <c r="G41" s="651"/>
      <c r="H41" s="651"/>
      <c r="I41" s="300"/>
    </row>
    <row r="42" spans="1:9" x14ac:dyDescent="0.25">
      <c r="A42" s="300"/>
      <c r="B42" s="902" t="s">
        <v>357</v>
      </c>
      <c r="C42" s="903"/>
      <c r="D42" s="903"/>
      <c r="E42" s="903"/>
      <c r="F42" s="904"/>
      <c r="G42" s="651"/>
      <c r="H42" s="651"/>
      <c r="I42" s="300"/>
    </row>
    <row r="43" spans="1:9" x14ac:dyDescent="0.25">
      <c r="A43" s="300"/>
      <c r="B43" s="902" t="s">
        <v>358</v>
      </c>
      <c r="C43" s="903"/>
      <c r="D43" s="903"/>
      <c r="E43" s="903"/>
      <c r="F43" s="904"/>
      <c r="G43" s="651"/>
      <c r="H43" s="651"/>
      <c r="I43" s="300"/>
    </row>
    <row r="44" spans="1:9" x14ac:dyDescent="0.25">
      <c r="A44" s="300"/>
      <c r="B44" s="902" t="s">
        <v>359</v>
      </c>
      <c r="C44" s="903"/>
      <c r="D44" s="903"/>
      <c r="E44" s="903"/>
      <c r="F44" s="904"/>
      <c r="G44" s="651"/>
      <c r="H44" s="651"/>
      <c r="I44" s="300"/>
    </row>
    <row r="45" spans="1:9" x14ac:dyDescent="0.25">
      <c r="A45" s="300"/>
      <c r="B45" s="902" t="s">
        <v>360</v>
      </c>
      <c r="C45" s="903"/>
      <c r="D45" s="903"/>
      <c r="E45" s="903"/>
      <c r="F45" s="904"/>
      <c r="G45" s="651"/>
      <c r="H45" s="651"/>
      <c r="I45" s="300"/>
    </row>
    <row r="46" spans="1:9" x14ac:dyDescent="0.25">
      <c r="A46" s="300"/>
      <c r="B46" s="902" t="s">
        <v>361</v>
      </c>
      <c r="C46" s="903"/>
      <c r="D46" s="903"/>
      <c r="E46" s="903"/>
      <c r="F46" s="904"/>
      <c r="G46" s="651"/>
      <c r="H46" s="651"/>
      <c r="I46" s="300"/>
    </row>
    <row r="47" spans="1:9" x14ac:dyDescent="0.25">
      <c r="A47" s="300"/>
      <c r="B47" s="902" t="s">
        <v>362</v>
      </c>
      <c r="C47" s="903"/>
      <c r="D47" s="903"/>
      <c r="E47" s="903"/>
      <c r="F47" s="904"/>
      <c r="G47" s="651"/>
      <c r="H47" s="651"/>
      <c r="I47" s="300"/>
    </row>
    <row r="48" spans="1:9" x14ac:dyDescent="0.25">
      <c r="A48" s="300"/>
      <c r="B48" s="902" t="s">
        <v>363</v>
      </c>
      <c r="C48" s="903"/>
      <c r="D48" s="903"/>
      <c r="E48" s="903"/>
      <c r="F48" s="904"/>
      <c r="G48" s="168">
        <v>0</v>
      </c>
      <c r="H48" s="168">
        <v>0</v>
      </c>
      <c r="I48" s="300"/>
    </row>
    <row r="49" spans="1:9" x14ac:dyDescent="0.25">
      <c r="A49" s="300"/>
      <c r="B49" s="905" t="s">
        <v>203</v>
      </c>
      <c r="C49" s="906"/>
      <c r="D49" s="906"/>
      <c r="E49" s="906"/>
      <c r="F49" s="907"/>
      <c r="G49" s="652">
        <v>0</v>
      </c>
      <c r="H49" s="652">
        <f>SUM(H41:H48)</f>
        <v>0</v>
      </c>
      <c r="I49" s="300"/>
    </row>
    <row r="50" spans="1:9" x14ac:dyDescent="0.25">
      <c r="A50" s="300"/>
      <c r="B50" s="905" t="s">
        <v>397</v>
      </c>
      <c r="C50" s="906"/>
      <c r="D50" s="906"/>
      <c r="E50" s="906"/>
      <c r="F50" s="907"/>
      <c r="G50" s="651"/>
      <c r="H50" s="651"/>
      <c r="I50" s="300"/>
    </row>
    <row r="51" spans="1:9" x14ac:dyDescent="0.25">
      <c r="A51" s="300"/>
      <c r="B51" s="905" t="s">
        <v>366</v>
      </c>
      <c r="C51" s="906"/>
      <c r="D51" s="906"/>
      <c r="E51" s="906"/>
      <c r="F51" s="907"/>
      <c r="G51" s="651"/>
      <c r="H51" s="651"/>
      <c r="I51" s="300"/>
    </row>
    <row r="52" spans="1:9" x14ac:dyDescent="0.25">
      <c r="A52" s="300"/>
      <c r="B52" s="902" t="s">
        <v>364</v>
      </c>
      <c r="C52" s="903"/>
      <c r="D52" s="903"/>
      <c r="E52" s="903"/>
      <c r="F52" s="904"/>
      <c r="G52" s="168">
        <v>77841000</v>
      </c>
      <c r="H52" s="653">
        <v>0</v>
      </c>
      <c r="I52" s="300"/>
    </row>
    <row r="53" spans="1:9" x14ac:dyDescent="0.25">
      <c r="A53" s="300"/>
      <c r="B53" s="902" t="s">
        <v>365</v>
      </c>
      <c r="C53" s="903"/>
      <c r="D53" s="903"/>
      <c r="E53" s="903"/>
      <c r="F53" s="904"/>
      <c r="G53" s="168">
        <v>205688000</v>
      </c>
      <c r="H53" s="168">
        <f>+BS!E10</f>
        <v>91315112.170000002</v>
      </c>
      <c r="I53" s="300"/>
    </row>
    <row r="54" spans="1:9" x14ac:dyDescent="0.25">
      <c r="A54" s="300"/>
      <c r="B54" s="902"/>
      <c r="C54" s="903"/>
      <c r="D54" s="903"/>
      <c r="E54" s="903"/>
      <c r="F54" s="904"/>
      <c r="G54" s="651"/>
      <c r="H54" s="651"/>
      <c r="I54" s="300"/>
    </row>
    <row r="55" spans="1:9" ht="29.25" customHeight="1" x14ac:dyDescent="0.25">
      <c r="A55" s="300"/>
      <c r="B55" s="924" t="s">
        <v>369</v>
      </c>
      <c r="C55" s="906"/>
      <c r="D55" s="906"/>
      <c r="E55" s="906"/>
      <c r="F55" s="907"/>
      <c r="G55" s="651"/>
      <c r="H55" s="651"/>
      <c r="I55" s="300"/>
    </row>
    <row r="56" spans="1:9" ht="60.75" customHeight="1" x14ac:dyDescent="0.25">
      <c r="A56" s="300"/>
      <c r="B56" s="929" t="s">
        <v>367</v>
      </c>
      <c r="C56" s="903"/>
      <c r="D56" s="903"/>
      <c r="E56" s="903"/>
      <c r="F56" s="904"/>
      <c r="G56" s="654" t="s">
        <v>402</v>
      </c>
      <c r="H56" s="654" t="s">
        <v>402</v>
      </c>
      <c r="I56" s="300"/>
    </row>
    <row r="57" spans="1:9" ht="60" customHeight="1" x14ac:dyDescent="0.25">
      <c r="A57" s="300"/>
      <c r="B57" s="929" t="s">
        <v>368</v>
      </c>
      <c r="C57" s="903"/>
      <c r="D57" s="903"/>
      <c r="E57" s="903"/>
      <c r="F57" s="904"/>
      <c r="G57" s="654" t="s">
        <v>402</v>
      </c>
      <c r="H57" s="654" t="s">
        <v>402</v>
      </c>
      <c r="I57" s="300"/>
    </row>
    <row r="58" spans="1:9" ht="58.5" customHeight="1" x14ac:dyDescent="0.25">
      <c r="A58" s="300"/>
      <c r="B58" s="929" t="s">
        <v>368</v>
      </c>
      <c r="C58" s="903"/>
      <c r="D58" s="903"/>
      <c r="E58" s="903"/>
      <c r="F58" s="904"/>
      <c r="G58" s="654" t="s">
        <v>402</v>
      </c>
      <c r="H58" s="654" t="s">
        <v>402</v>
      </c>
      <c r="I58" s="300"/>
    </row>
    <row r="59" spans="1:9" ht="15" customHeight="1" x14ac:dyDescent="0.25">
      <c r="A59" s="300"/>
      <c r="B59" s="890" t="s">
        <v>0</v>
      </c>
      <c r="C59" s="891"/>
      <c r="D59" s="891"/>
      <c r="E59" s="891"/>
      <c r="F59" s="892"/>
      <c r="G59" s="824" t="s">
        <v>355</v>
      </c>
      <c r="H59" s="889"/>
      <c r="I59" s="300"/>
    </row>
    <row r="60" spans="1:9" x14ac:dyDescent="0.25">
      <c r="A60" s="300"/>
      <c r="B60" s="893"/>
      <c r="C60" s="894"/>
      <c r="D60" s="894"/>
      <c r="E60" s="894"/>
      <c r="F60" s="895"/>
      <c r="G60" s="519" t="str">
        <f>G38</f>
        <v>As at March 31, 2025</v>
      </c>
      <c r="H60" s="519" t="s">
        <v>706</v>
      </c>
      <c r="I60" s="300"/>
    </row>
    <row r="61" spans="1:9" x14ac:dyDescent="0.25">
      <c r="A61" s="300"/>
      <c r="B61" s="924" t="s">
        <v>370</v>
      </c>
      <c r="C61" s="918"/>
      <c r="D61" s="918"/>
      <c r="E61" s="918"/>
      <c r="F61" s="928"/>
      <c r="G61" s="651"/>
      <c r="H61" s="651"/>
      <c r="I61" s="300"/>
    </row>
    <row r="62" spans="1:9" ht="254.25" customHeight="1" x14ac:dyDescent="0.25">
      <c r="A62" s="300"/>
      <c r="B62" s="929" t="s">
        <v>1053</v>
      </c>
      <c r="C62" s="903"/>
      <c r="D62" s="903"/>
      <c r="E62" s="903"/>
      <c r="F62" s="904"/>
      <c r="G62" s="655" t="s">
        <v>403</v>
      </c>
      <c r="H62" s="655" t="s">
        <v>403</v>
      </c>
      <c r="I62" s="300"/>
    </row>
    <row r="63" spans="1:9" x14ac:dyDescent="0.25">
      <c r="A63" s="300"/>
      <c r="B63" s="924" t="s">
        <v>371</v>
      </c>
      <c r="C63" s="918"/>
      <c r="D63" s="918"/>
      <c r="E63" s="918"/>
      <c r="F63" s="928"/>
      <c r="G63" s="656"/>
      <c r="H63" s="656"/>
      <c r="I63" s="300"/>
    </row>
    <row r="64" spans="1:9" x14ac:dyDescent="0.25">
      <c r="A64" s="300"/>
      <c r="B64" s="657" t="s">
        <v>377</v>
      </c>
      <c r="C64" s="658"/>
      <c r="D64" s="658"/>
      <c r="E64" s="658"/>
      <c r="F64" s="659"/>
      <c r="G64" s="656"/>
      <c r="H64" s="656"/>
      <c r="I64" s="300"/>
    </row>
    <row r="65" spans="1:9" x14ac:dyDescent="0.25">
      <c r="A65" s="300"/>
      <c r="B65" s="929" t="s">
        <v>372</v>
      </c>
      <c r="C65" s="933"/>
      <c r="D65" s="933"/>
      <c r="E65" s="933"/>
      <c r="F65" s="934"/>
      <c r="G65" s="656"/>
      <c r="H65" s="656"/>
      <c r="I65" s="300"/>
    </row>
    <row r="66" spans="1:9" x14ac:dyDescent="0.25">
      <c r="A66" s="300"/>
      <c r="B66" s="929" t="s">
        <v>373</v>
      </c>
      <c r="C66" s="933"/>
      <c r="D66" s="933"/>
      <c r="E66" s="933"/>
      <c r="F66" s="934"/>
      <c r="G66" s="660">
        <v>0</v>
      </c>
      <c r="H66" s="656">
        <v>0</v>
      </c>
      <c r="I66" s="300"/>
    </row>
    <row r="67" spans="1:9" x14ac:dyDescent="0.25">
      <c r="A67" s="300"/>
      <c r="B67" s="929" t="s">
        <v>374</v>
      </c>
      <c r="C67" s="933"/>
      <c r="D67" s="933"/>
      <c r="E67" s="933"/>
      <c r="F67" s="934"/>
      <c r="G67" s="660">
        <v>0</v>
      </c>
      <c r="H67" s="656">
        <v>0</v>
      </c>
      <c r="I67" s="300"/>
    </row>
    <row r="68" spans="1:9" x14ac:dyDescent="0.25">
      <c r="A68" s="300"/>
      <c r="B68" s="661" t="s">
        <v>472</v>
      </c>
      <c r="C68" s="359"/>
      <c r="D68" s="359"/>
      <c r="E68" s="359"/>
      <c r="F68" s="662"/>
      <c r="G68" s="660">
        <v>0</v>
      </c>
      <c r="H68" s="656">
        <v>0</v>
      </c>
      <c r="I68" s="300"/>
    </row>
    <row r="69" spans="1:9" x14ac:dyDescent="0.25">
      <c r="A69" s="300"/>
      <c r="B69" s="661" t="s">
        <v>473</v>
      </c>
      <c r="C69" s="359"/>
      <c r="D69" s="359"/>
      <c r="E69" s="359"/>
      <c r="F69" s="662"/>
      <c r="G69" s="660">
        <v>0</v>
      </c>
      <c r="H69" s="656">
        <v>0</v>
      </c>
      <c r="I69" s="300"/>
    </row>
    <row r="70" spans="1:9" x14ac:dyDescent="0.25">
      <c r="A70" s="300"/>
      <c r="B70" s="661" t="s">
        <v>474</v>
      </c>
      <c r="C70" s="359"/>
      <c r="D70" s="359"/>
      <c r="E70" s="359"/>
      <c r="F70" s="662"/>
      <c r="G70" s="660">
        <v>0</v>
      </c>
      <c r="H70" s="656">
        <v>0</v>
      </c>
      <c r="I70" s="300"/>
    </row>
    <row r="71" spans="1:9" x14ac:dyDescent="0.25">
      <c r="A71" s="300"/>
      <c r="B71" s="929" t="s">
        <v>376</v>
      </c>
      <c r="C71" s="933"/>
      <c r="D71" s="933"/>
      <c r="E71" s="933"/>
      <c r="F71" s="934"/>
      <c r="G71" s="660">
        <v>0</v>
      </c>
      <c r="H71" s="656">
        <v>0</v>
      </c>
      <c r="I71" s="300"/>
    </row>
    <row r="72" spans="1:9" x14ac:dyDescent="0.25">
      <c r="A72" s="300"/>
      <c r="B72" s="657" t="s">
        <v>378</v>
      </c>
      <c r="C72" s="658"/>
      <c r="D72" s="658"/>
      <c r="E72" s="658"/>
      <c r="F72" s="659"/>
      <c r="G72" s="660">
        <v>0</v>
      </c>
      <c r="H72" s="656">
        <v>0</v>
      </c>
      <c r="I72" s="300"/>
    </row>
    <row r="73" spans="1:9" x14ac:dyDescent="0.25">
      <c r="A73" s="300"/>
      <c r="B73" s="929" t="s">
        <v>372</v>
      </c>
      <c r="C73" s="933"/>
      <c r="D73" s="933"/>
      <c r="E73" s="933"/>
      <c r="F73" s="934"/>
      <c r="G73" s="660">
        <v>0</v>
      </c>
      <c r="H73" s="656">
        <v>0</v>
      </c>
      <c r="I73" s="300"/>
    </row>
    <row r="74" spans="1:9" x14ac:dyDescent="0.25">
      <c r="A74" s="300"/>
      <c r="B74" s="929" t="s">
        <v>373</v>
      </c>
      <c r="C74" s="933"/>
      <c r="D74" s="933"/>
      <c r="E74" s="933"/>
      <c r="F74" s="934"/>
      <c r="G74" s="660">
        <v>0</v>
      </c>
      <c r="H74" s="656">
        <v>0</v>
      </c>
      <c r="I74" s="300"/>
    </row>
    <row r="75" spans="1:9" x14ac:dyDescent="0.25">
      <c r="A75" s="300"/>
      <c r="B75" s="929" t="s">
        <v>374</v>
      </c>
      <c r="C75" s="933"/>
      <c r="D75" s="933"/>
      <c r="E75" s="933"/>
      <c r="F75" s="934"/>
      <c r="G75" s="660">
        <f>'bs Notes'!J65</f>
        <v>0</v>
      </c>
      <c r="H75" s="656">
        <f>'bs Notes'!L65</f>
        <v>0</v>
      </c>
      <c r="I75" s="300"/>
    </row>
    <row r="76" spans="1:9" ht="46.5" customHeight="1" x14ac:dyDescent="0.25">
      <c r="A76" s="300"/>
      <c r="B76" s="929" t="s">
        <v>375</v>
      </c>
      <c r="C76" s="903"/>
      <c r="D76" s="903"/>
      <c r="E76" s="903"/>
      <c r="F76" s="904"/>
      <c r="G76" s="656" t="s">
        <v>404</v>
      </c>
      <c r="H76" s="656" t="s">
        <v>404</v>
      </c>
      <c r="I76" s="300"/>
    </row>
    <row r="77" spans="1:9" x14ac:dyDescent="0.25">
      <c r="A77" s="300"/>
      <c r="B77" s="826" t="s">
        <v>376</v>
      </c>
      <c r="C77" s="827"/>
      <c r="D77" s="827"/>
      <c r="E77" s="827"/>
      <c r="F77" s="828"/>
      <c r="G77" s="663">
        <v>0</v>
      </c>
      <c r="H77" s="663">
        <v>0</v>
      </c>
      <c r="I77" s="300"/>
    </row>
    <row r="78" spans="1:9" x14ac:dyDescent="0.25">
      <c r="A78" s="300"/>
      <c r="B78" s="300"/>
      <c r="C78" s="300"/>
      <c r="D78" s="300"/>
      <c r="E78" s="300"/>
      <c r="F78" s="300"/>
      <c r="G78" s="300"/>
      <c r="H78" s="300"/>
      <c r="I78" s="300"/>
    </row>
    <row r="79" spans="1:9" x14ac:dyDescent="0.25">
      <c r="A79" s="300"/>
      <c r="B79" s="939" t="s">
        <v>379</v>
      </c>
      <c r="C79" s="939"/>
      <c r="D79" s="939"/>
      <c r="E79" s="939"/>
      <c r="F79" s="939"/>
      <c r="G79" s="939"/>
      <c r="H79" s="939"/>
      <c r="I79" s="939"/>
    </row>
    <row r="80" spans="1:9" x14ac:dyDescent="0.25">
      <c r="A80" s="300"/>
      <c r="B80" s="306"/>
      <c r="C80" s="300"/>
      <c r="D80" s="300"/>
      <c r="E80" s="300"/>
      <c r="F80" s="300"/>
      <c r="G80" s="300"/>
      <c r="H80" s="300"/>
      <c r="I80" s="300"/>
    </row>
    <row r="81" spans="1:9" x14ac:dyDescent="0.25">
      <c r="A81" s="300"/>
      <c r="B81" s="306" t="s">
        <v>883</v>
      </c>
      <c r="C81" s="300"/>
      <c r="D81" s="300"/>
      <c r="E81" s="300"/>
      <c r="F81" s="300"/>
      <c r="G81" s="300"/>
      <c r="H81" s="300"/>
      <c r="I81" s="300"/>
    </row>
    <row r="82" spans="1:9" x14ac:dyDescent="0.25">
      <c r="A82" s="300"/>
      <c r="B82" s="890" t="s">
        <v>0</v>
      </c>
      <c r="C82" s="891"/>
      <c r="D82" s="891"/>
      <c r="E82" s="891"/>
      <c r="F82" s="892"/>
      <c r="G82" s="824" t="s">
        <v>386</v>
      </c>
      <c r="H82" s="935"/>
      <c r="I82" s="889"/>
    </row>
    <row r="83" spans="1:9" x14ac:dyDescent="0.25">
      <c r="A83" s="300"/>
      <c r="B83" s="893"/>
      <c r="C83" s="894"/>
      <c r="D83" s="894"/>
      <c r="E83" s="894"/>
      <c r="F83" s="895"/>
      <c r="G83" s="519" t="s">
        <v>384</v>
      </c>
      <c r="H83" s="519" t="s">
        <v>385</v>
      </c>
      <c r="I83" s="519" t="s">
        <v>203</v>
      </c>
    </row>
    <row r="84" spans="1:9" x14ac:dyDescent="0.25">
      <c r="A84" s="300"/>
      <c r="B84" s="936" t="s">
        <v>380</v>
      </c>
      <c r="C84" s="937"/>
      <c r="D84" s="937"/>
      <c r="E84" s="937"/>
      <c r="F84" s="938"/>
      <c r="G84" s="148">
        <v>0</v>
      </c>
      <c r="H84" s="148">
        <v>0</v>
      </c>
      <c r="I84" s="148">
        <f>SUM(G84:H84)</f>
        <v>0</v>
      </c>
    </row>
    <row r="85" spans="1:9" x14ac:dyDescent="0.25">
      <c r="A85" s="300"/>
      <c r="B85" s="902" t="s">
        <v>381</v>
      </c>
      <c r="C85" s="903"/>
      <c r="D85" s="903"/>
      <c r="E85" s="903"/>
      <c r="F85" s="904"/>
      <c r="G85" s="116">
        <v>0</v>
      </c>
      <c r="H85" s="116">
        <v>0</v>
      </c>
      <c r="I85" s="116">
        <f>SUM(G85:H85)</f>
        <v>0</v>
      </c>
    </row>
    <row r="86" spans="1:9" x14ac:dyDescent="0.25">
      <c r="A86" s="300"/>
      <c r="B86" s="902" t="s">
        <v>382</v>
      </c>
      <c r="C86" s="903"/>
      <c r="D86" s="903"/>
      <c r="E86" s="903"/>
      <c r="F86" s="904"/>
      <c r="G86" s="116">
        <v>0</v>
      </c>
      <c r="H86" s="116">
        <v>0</v>
      </c>
      <c r="I86" s="116">
        <f>SUM(G86:H86)</f>
        <v>0</v>
      </c>
    </row>
    <row r="87" spans="1:9" x14ac:dyDescent="0.25">
      <c r="A87" s="300"/>
      <c r="B87" s="902" t="s">
        <v>383</v>
      </c>
      <c r="C87" s="903"/>
      <c r="D87" s="903"/>
      <c r="E87" s="903"/>
      <c r="F87" s="904"/>
      <c r="G87" s="116">
        <v>0</v>
      </c>
      <c r="H87" s="116">
        <v>0</v>
      </c>
      <c r="I87" s="116">
        <f>SUM(G87:H87)</f>
        <v>0</v>
      </c>
    </row>
    <row r="88" spans="1:9" x14ac:dyDescent="0.25">
      <c r="A88" s="300"/>
      <c r="B88" s="930" t="s">
        <v>405</v>
      </c>
      <c r="C88" s="931"/>
      <c r="D88" s="931"/>
      <c r="E88" s="931"/>
      <c r="F88" s="932"/>
      <c r="G88" s="170">
        <f>+G52</f>
        <v>77841000</v>
      </c>
      <c r="H88" s="170">
        <f>G53</f>
        <v>205688000</v>
      </c>
      <c r="I88" s="170">
        <f>SUM(G88:H88)</f>
        <v>283529000</v>
      </c>
    </row>
    <row r="89" spans="1:9" x14ac:dyDescent="0.25">
      <c r="A89" s="300"/>
      <c r="B89" s="300"/>
      <c r="C89" s="300"/>
      <c r="D89" s="300"/>
      <c r="E89" s="300"/>
      <c r="F89" s="300"/>
      <c r="G89" s="166"/>
      <c r="H89" s="166"/>
      <c r="I89" s="166"/>
    </row>
    <row r="90" spans="1:9" x14ac:dyDescent="0.25">
      <c r="A90" s="300"/>
      <c r="B90" s="306" t="s">
        <v>756</v>
      </c>
      <c r="C90" s="300"/>
      <c r="D90" s="300"/>
      <c r="E90" s="300"/>
      <c r="F90" s="300"/>
      <c r="G90" s="166"/>
      <c r="H90" s="166"/>
      <c r="I90" s="166"/>
    </row>
    <row r="91" spans="1:9" x14ac:dyDescent="0.25">
      <c r="A91" s="300"/>
      <c r="B91" s="890" t="s">
        <v>0</v>
      </c>
      <c r="C91" s="891"/>
      <c r="D91" s="891"/>
      <c r="E91" s="891"/>
      <c r="F91" s="892"/>
      <c r="G91" s="940" t="s">
        <v>386</v>
      </c>
      <c r="H91" s="941"/>
      <c r="I91" s="942"/>
    </row>
    <row r="92" spans="1:9" x14ac:dyDescent="0.25">
      <c r="A92" s="300"/>
      <c r="B92" s="893"/>
      <c r="C92" s="894"/>
      <c r="D92" s="894"/>
      <c r="E92" s="894"/>
      <c r="F92" s="895"/>
      <c r="G92" s="664" t="s">
        <v>384</v>
      </c>
      <c r="H92" s="664" t="s">
        <v>385</v>
      </c>
      <c r="I92" s="664" t="s">
        <v>203</v>
      </c>
    </row>
    <row r="93" spans="1:9" x14ac:dyDescent="0.25">
      <c r="A93" s="300"/>
      <c r="B93" s="936" t="s">
        <v>380</v>
      </c>
      <c r="C93" s="937"/>
      <c r="D93" s="937"/>
      <c r="E93" s="937"/>
      <c r="F93" s="938"/>
      <c r="G93" s="148">
        <v>0</v>
      </c>
      <c r="H93" s="148">
        <v>0</v>
      </c>
      <c r="I93" s="148">
        <f>SUM(G93:H93)</f>
        <v>0</v>
      </c>
    </row>
    <row r="94" spans="1:9" x14ac:dyDescent="0.25">
      <c r="A94" s="300"/>
      <c r="B94" s="902" t="s">
        <v>381</v>
      </c>
      <c r="C94" s="903"/>
      <c r="D94" s="903"/>
      <c r="E94" s="903"/>
      <c r="F94" s="904"/>
      <c r="G94" s="116">
        <v>0</v>
      </c>
      <c r="H94" s="116">
        <v>0</v>
      </c>
      <c r="I94" s="116">
        <f>SUM(G94:H94)</f>
        <v>0</v>
      </c>
    </row>
    <row r="95" spans="1:9" x14ac:dyDescent="0.25">
      <c r="A95" s="300"/>
      <c r="B95" s="902" t="s">
        <v>382</v>
      </c>
      <c r="C95" s="903"/>
      <c r="D95" s="903"/>
      <c r="E95" s="903"/>
      <c r="F95" s="904"/>
      <c r="G95" s="116">
        <v>0</v>
      </c>
      <c r="H95" s="116">
        <v>0</v>
      </c>
      <c r="I95" s="116">
        <f>SUM(G95:H95)</f>
        <v>0</v>
      </c>
    </row>
    <row r="96" spans="1:9" x14ac:dyDescent="0.25">
      <c r="A96" s="300"/>
      <c r="B96" s="902" t="s">
        <v>383</v>
      </c>
      <c r="C96" s="903"/>
      <c r="D96" s="903"/>
      <c r="E96" s="903"/>
      <c r="F96" s="904"/>
      <c r="G96" s="116">
        <v>0</v>
      </c>
      <c r="H96" s="116">
        <v>0</v>
      </c>
      <c r="I96" s="116">
        <f>SUM(G96:H96)</f>
        <v>0</v>
      </c>
    </row>
    <row r="97" spans="1:9" x14ac:dyDescent="0.25">
      <c r="A97" s="300"/>
      <c r="B97" s="930" t="s">
        <v>405</v>
      </c>
      <c r="C97" s="931"/>
      <c r="D97" s="931"/>
      <c r="E97" s="931"/>
      <c r="F97" s="932"/>
      <c r="G97" s="170">
        <v>0</v>
      </c>
      <c r="H97" s="170">
        <f>+BS!E10</f>
        <v>91315112.170000002</v>
      </c>
      <c r="I97" s="170">
        <f>SUM(G97:H97)</f>
        <v>91315112.170000002</v>
      </c>
    </row>
    <row r="98" spans="1:9" x14ac:dyDescent="0.25">
      <c r="A98" s="300"/>
      <c r="B98" s="300"/>
      <c r="C98" s="300"/>
      <c r="D98" s="300"/>
      <c r="E98" s="300"/>
      <c r="F98" s="300"/>
      <c r="G98" s="166"/>
      <c r="H98" s="166"/>
      <c r="I98" s="166"/>
    </row>
    <row r="99" spans="1:9" x14ac:dyDescent="0.25">
      <c r="A99" s="300"/>
      <c r="B99" s="918" t="s">
        <v>387</v>
      </c>
      <c r="C99" s="918"/>
      <c r="D99" s="918"/>
      <c r="E99" s="918"/>
      <c r="F99" s="918"/>
      <c r="G99" s="918"/>
      <c r="H99" s="918"/>
      <c r="I99" s="918"/>
    </row>
    <row r="100" spans="1:9" x14ac:dyDescent="0.25">
      <c r="A100" s="300"/>
      <c r="B100" s="300"/>
      <c r="C100" s="300"/>
      <c r="D100" s="300"/>
      <c r="E100" s="300"/>
      <c r="F100" s="300"/>
      <c r="G100" s="300"/>
      <c r="H100" s="300"/>
      <c r="I100" s="300"/>
    </row>
    <row r="101" spans="1:9" ht="15" customHeight="1" x14ac:dyDescent="0.25">
      <c r="A101" s="300"/>
      <c r="B101" s="944" t="s">
        <v>388</v>
      </c>
      <c r="C101" s="945"/>
      <c r="D101" s="943" t="str">
        <f>G60</f>
        <v>As at March 31, 2025</v>
      </c>
      <c r="E101" s="943"/>
      <c r="F101" s="943" t="s">
        <v>707</v>
      </c>
      <c r="G101" s="943"/>
      <c r="H101" s="300"/>
      <c r="I101" s="300"/>
    </row>
    <row r="102" spans="1:9" ht="121.5" customHeight="1" x14ac:dyDescent="0.25">
      <c r="A102" s="300"/>
      <c r="B102" s="946"/>
      <c r="C102" s="947"/>
      <c r="D102" s="519" t="s">
        <v>389</v>
      </c>
      <c r="E102" s="519" t="s">
        <v>390</v>
      </c>
      <c r="F102" s="519" t="s">
        <v>389</v>
      </c>
      <c r="G102" s="519" t="s">
        <v>390</v>
      </c>
      <c r="H102" s="300"/>
      <c r="I102" s="300"/>
    </row>
    <row r="103" spans="1:9" x14ac:dyDescent="0.25">
      <c r="A103" s="300"/>
      <c r="B103" s="936" t="s">
        <v>391</v>
      </c>
      <c r="C103" s="938"/>
      <c r="D103" s="665"/>
      <c r="E103" s="665"/>
      <c r="F103" s="665"/>
      <c r="G103" s="665"/>
      <c r="H103" s="300"/>
      <c r="I103" s="300"/>
    </row>
    <row r="104" spans="1:9" x14ac:dyDescent="0.25">
      <c r="A104" s="300"/>
      <c r="B104" s="902" t="s">
        <v>392</v>
      </c>
      <c r="C104" s="904"/>
      <c r="D104" s="116">
        <v>0</v>
      </c>
      <c r="E104" s="116">
        <v>0</v>
      </c>
      <c r="F104" s="116">
        <v>0</v>
      </c>
      <c r="G104" s="116">
        <v>0</v>
      </c>
      <c r="H104" s="300"/>
      <c r="I104" s="300"/>
    </row>
    <row r="105" spans="1:9" x14ac:dyDescent="0.25">
      <c r="A105" s="300"/>
      <c r="B105" s="902" t="s">
        <v>394</v>
      </c>
      <c r="C105" s="904"/>
      <c r="D105" s="116">
        <v>0</v>
      </c>
      <c r="E105" s="116">
        <v>0</v>
      </c>
      <c r="F105" s="116">
        <v>0</v>
      </c>
      <c r="G105" s="116">
        <v>0</v>
      </c>
      <c r="H105" s="300"/>
      <c r="I105" s="300"/>
    </row>
    <row r="106" spans="1:9" x14ac:dyDescent="0.25">
      <c r="A106" s="300"/>
      <c r="B106" s="902" t="s">
        <v>393</v>
      </c>
      <c r="C106" s="904"/>
      <c r="D106" s="116">
        <v>0</v>
      </c>
      <c r="E106" s="116">
        <v>0</v>
      </c>
      <c r="F106" s="116">
        <v>0</v>
      </c>
      <c r="G106" s="116">
        <v>0</v>
      </c>
      <c r="H106" s="300"/>
      <c r="I106" s="300"/>
    </row>
    <row r="107" spans="1:9" x14ac:dyDescent="0.25">
      <c r="A107" s="300"/>
      <c r="B107" s="930" t="s">
        <v>395</v>
      </c>
      <c r="C107" s="932"/>
      <c r="D107" s="170">
        <v>0</v>
      </c>
      <c r="E107" s="170">
        <v>0</v>
      </c>
      <c r="F107" s="170">
        <v>0</v>
      </c>
      <c r="G107" s="170">
        <f>+F107</f>
        <v>0</v>
      </c>
      <c r="H107" s="300"/>
      <c r="I107" s="300"/>
    </row>
    <row r="108" spans="1:9" x14ac:dyDescent="0.25">
      <c r="A108" s="300"/>
      <c r="B108" s="948" t="s">
        <v>203</v>
      </c>
      <c r="C108" s="948"/>
      <c r="D108" s="666">
        <f>SUM(D104:D107)</f>
        <v>0</v>
      </c>
      <c r="E108" s="666">
        <f>SUM(E104:E107)</f>
        <v>0</v>
      </c>
      <c r="F108" s="666">
        <f>SUM(F104:F107)</f>
        <v>0</v>
      </c>
      <c r="G108" s="666">
        <f>SUM(G104:G107)</f>
        <v>0</v>
      </c>
      <c r="H108" s="300"/>
      <c r="I108" s="300"/>
    </row>
    <row r="109" spans="1:9" x14ac:dyDescent="0.25">
      <c r="A109" s="300"/>
      <c r="B109" s="300"/>
      <c r="C109" s="300"/>
      <c r="D109" s="300"/>
      <c r="E109" s="300"/>
      <c r="F109" s="300"/>
      <c r="G109" s="300"/>
      <c r="H109" s="300"/>
      <c r="I109" s="300"/>
    </row>
    <row r="110" spans="1:9" ht="13.5" customHeight="1" x14ac:dyDescent="0.25">
      <c r="A110" s="300"/>
      <c r="B110" s="933" t="s">
        <v>396</v>
      </c>
      <c r="C110" s="933"/>
      <c r="D110" s="933"/>
      <c r="E110" s="933"/>
      <c r="F110" s="933"/>
      <c r="G110" s="933"/>
      <c r="H110" s="933"/>
      <c r="I110" s="933"/>
    </row>
    <row r="111" spans="1:9" ht="45" customHeight="1" x14ac:dyDescent="0.25">
      <c r="A111" s="300"/>
      <c r="B111" s="933" t="s">
        <v>1054</v>
      </c>
      <c r="C111" s="933"/>
      <c r="D111" s="933"/>
      <c r="E111" s="933"/>
      <c r="F111" s="933"/>
      <c r="G111" s="933"/>
      <c r="H111" s="933"/>
      <c r="I111" s="933"/>
    </row>
    <row r="112" spans="1:9" x14ac:dyDescent="0.25">
      <c r="A112" s="300"/>
      <c r="B112" s="300"/>
      <c r="C112" s="300"/>
      <c r="D112" s="300"/>
      <c r="E112" s="300"/>
      <c r="F112" s="300"/>
      <c r="G112" s="300"/>
      <c r="H112" s="300"/>
      <c r="I112" s="300"/>
    </row>
    <row r="113" spans="1:9" x14ac:dyDescent="0.25">
      <c r="A113" s="300"/>
      <c r="B113" s="306" t="s">
        <v>398</v>
      </c>
      <c r="C113" s="300"/>
      <c r="D113" s="300"/>
      <c r="E113" s="300"/>
      <c r="F113" s="300"/>
      <c r="G113" s="300"/>
      <c r="H113" s="300"/>
      <c r="I113" s="300"/>
    </row>
    <row r="114" spans="1:9" x14ac:dyDescent="0.25">
      <c r="A114" s="300"/>
      <c r="B114" s="958" t="s">
        <v>0</v>
      </c>
      <c r="C114" s="959"/>
      <c r="D114" s="959"/>
      <c r="E114" s="959"/>
      <c r="F114" s="960"/>
      <c r="G114" s="519" t="str">
        <f>D101</f>
        <v>As at March 31, 2025</v>
      </c>
      <c r="H114" s="519" t="s">
        <v>706</v>
      </c>
      <c r="I114" s="300"/>
    </row>
    <row r="115" spans="1:9" x14ac:dyDescent="0.25">
      <c r="A115" s="300"/>
      <c r="B115" s="936" t="s">
        <v>399</v>
      </c>
      <c r="C115" s="937"/>
      <c r="D115" s="937"/>
      <c r="E115" s="937"/>
      <c r="F115" s="938"/>
      <c r="G115" s="665"/>
      <c r="H115" s="665"/>
      <c r="I115" s="300"/>
    </row>
    <row r="116" spans="1:9" ht="15" customHeight="1" x14ac:dyDescent="0.25">
      <c r="A116" s="300"/>
      <c r="B116" s="902" t="s">
        <v>1061</v>
      </c>
      <c r="C116" s="903"/>
      <c r="D116" s="903"/>
      <c r="E116" s="903"/>
      <c r="F116" s="904"/>
      <c r="G116" s="667" t="s">
        <v>402</v>
      </c>
      <c r="H116" s="668" t="s">
        <v>402</v>
      </c>
      <c r="I116" s="300"/>
    </row>
    <row r="117" spans="1:9" ht="14.25" customHeight="1" x14ac:dyDescent="0.25">
      <c r="A117" s="300"/>
      <c r="B117" s="902" t="s">
        <v>1062</v>
      </c>
      <c r="C117" s="903"/>
      <c r="D117" s="903"/>
      <c r="E117" s="903"/>
      <c r="F117" s="904"/>
      <c r="G117" s="669">
        <v>2604000</v>
      </c>
      <c r="H117" s="670" t="s">
        <v>406</v>
      </c>
      <c r="I117" s="300"/>
    </row>
    <row r="118" spans="1:9" x14ac:dyDescent="0.25">
      <c r="A118" s="300"/>
      <c r="B118" s="902" t="s">
        <v>400</v>
      </c>
      <c r="C118" s="903"/>
      <c r="D118" s="903"/>
      <c r="E118" s="903"/>
      <c r="F118" s="904"/>
      <c r="G118" s="651"/>
      <c r="H118" s="671"/>
      <c r="I118" s="300"/>
    </row>
    <row r="119" spans="1:9" ht="14.25" customHeight="1" x14ac:dyDescent="0.25">
      <c r="A119" s="300"/>
      <c r="B119" s="902" t="s">
        <v>1063</v>
      </c>
      <c r="C119" s="903"/>
      <c r="D119" s="903"/>
      <c r="E119" s="903"/>
      <c r="F119" s="904"/>
      <c r="G119" s="654" t="s">
        <v>402</v>
      </c>
      <c r="H119" s="670" t="s">
        <v>402</v>
      </c>
      <c r="I119" s="300"/>
    </row>
    <row r="120" spans="1:9" ht="15.75" customHeight="1" x14ac:dyDescent="0.25">
      <c r="A120" s="300"/>
      <c r="B120" s="672" t="s">
        <v>1062</v>
      </c>
      <c r="C120" s="300"/>
      <c r="D120" s="300"/>
      <c r="E120" s="300"/>
      <c r="F120" s="370"/>
      <c r="G120" s="669">
        <v>2371000</v>
      </c>
      <c r="H120" s="670" t="s">
        <v>406</v>
      </c>
      <c r="I120" s="300"/>
    </row>
    <row r="121" spans="1:9" x14ac:dyDescent="0.25">
      <c r="A121" s="300"/>
      <c r="B121" s="930" t="s">
        <v>401</v>
      </c>
      <c r="C121" s="931"/>
      <c r="D121" s="931"/>
      <c r="E121" s="931"/>
      <c r="F121" s="932"/>
      <c r="G121" s="673" t="s">
        <v>406</v>
      </c>
      <c r="H121" s="674" t="s">
        <v>406</v>
      </c>
      <c r="I121" s="300"/>
    </row>
    <row r="122" spans="1:9" x14ac:dyDescent="0.25">
      <c r="A122" s="300"/>
      <c r="B122" s="903"/>
      <c r="C122" s="903"/>
      <c r="D122" s="903"/>
      <c r="E122" s="903"/>
      <c r="F122" s="903"/>
      <c r="G122" s="300"/>
      <c r="H122" s="300"/>
      <c r="I122" s="300"/>
    </row>
    <row r="123" spans="1:9" x14ac:dyDescent="0.25">
      <c r="A123" s="306" t="s">
        <v>476</v>
      </c>
      <c r="B123" s="306" t="s">
        <v>424</v>
      </c>
      <c r="C123" s="300"/>
      <c r="D123" s="300"/>
      <c r="E123" s="300"/>
      <c r="F123" s="300"/>
      <c r="G123" s="300"/>
      <c r="H123" s="300"/>
      <c r="I123" s="300"/>
    </row>
    <row r="124" spans="1:9" x14ac:dyDescent="0.25">
      <c r="A124" s="300"/>
      <c r="B124" s="306"/>
      <c r="C124" s="300"/>
      <c r="D124" s="300"/>
      <c r="E124" s="300"/>
      <c r="F124" s="300"/>
      <c r="G124" s="300"/>
      <c r="H124" s="300"/>
      <c r="I124" s="300"/>
    </row>
    <row r="125" spans="1:9" x14ac:dyDescent="0.25">
      <c r="A125" s="300"/>
      <c r="B125" s="306" t="s">
        <v>419</v>
      </c>
      <c r="C125" s="300"/>
      <c r="D125" s="300"/>
      <c r="E125" s="300"/>
      <c r="F125" s="300"/>
      <c r="G125" s="300"/>
      <c r="H125" s="300"/>
      <c r="I125" s="300"/>
    </row>
    <row r="126" spans="1:9" x14ac:dyDescent="0.25">
      <c r="A126" s="300"/>
      <c r="B126" s="949" t="s">
        <v>420</v>
      </c>
      <c r="C126" s="950"/>
      <c r="D126" s="951"/>
      <c r="E126" s="300"/>
      <c r="F126" s="300"/>
      <c r="G126" s="300"/>
      <c r="H126" s="300"/>
      <c r="I126" s="300"/>
    </row>
    <row r="127" spans="1:9" x14ac:dyDescent="0.25">
      <c r="A127" s="300"/>
      <c r="B127" s="952" t="s">
        <v>593</v>
      </c>
      <c r="C127" s="953"/>
      <c r="D127" s="954"/>
      <c r="E127" s="300"/>
      <c r="F127" s="300"/>
      <c r="G127" s="300"/>
      <c r="H127" s="300"/>
      <c r="I127" s="300"/>
    </row>
    <row r="128" spans="1:9" x14ac:dyDescent="0.25">
      <c r="A128" s="300"/>
      <c r="B128" s="955" t="s">
        <v>625</v>
      </c>
      <c r="C128" s="956"/>
      <c r="D128" s="957"/>
      <c r="E128" s="300"/>
      <c r="F128" s="300"/>
      <c r="G128" s="300"/>
      <c r="H128" s="300"/>
      <c r="I128" s="300"/>
    </row>
    <row r="129" spans="1:10" x14ac:dyDescent="0.25">
      <c r="A129" s="300"/>
      <c r="B129" s="955" t="s">
        <v>966</v>
      </c>
      <c r="C129" s="956"/>
      <c r="D129" s="957"/>
      <c r="E129" s="300"/>
      <c r="F129" s="300"/>
      <c r="G129" s="300"/>
      <c r="H129" s="300"/>
      <c r="I129" s="300"/>
    </row>
    <row r="130" spans="1:10" x14ac:dyDescent="0.25">
      <c r="A130" s="300"/>
      <c r="B130" s="524" t="s">
        <v>967</v>
      </c>
      <c r="C130" s="675"/>
      <c r="D130" s="528"/>
      <c r="E130" s="300"/>
      <c r="F130" s="300"/>
      <c r="G130" s="300"/>
      <c r="H130" s="300"/>
      <c r="I130" s="300"/>
    </row>
    <row r="131" spans="1:10" x14ac:dyDescent="0.25">
      <c r="A131" s="300"/>
      <c r="B131" s="955" t="s">
        <v>594</v>
      </c>
      <c r="C131" s="956"/>
      <c r="D131" s="957"/>
      <c r="E131" s="300"/>
      <c r="F131" s="300"/>
      <c r="G131" s="300"/>
      <c r="H131" s="300"/>
      <c r="I131" s="300"/>
    </row>
    <row r="132" spans="1:10" x14ac:dyDescent="0.25">
      <c r="A132" s="300"/>
      <c r="B132" s="955" t="s">
        <v>626</v>
      </c>
      <c r="C132" s="956"/>
      <c r="D132" s="957"/>
      <c r="E132" s="300"/>
      <c r="F132" s="300"/>
      <c r="G132" s="300"/>
      <c r="H132" s="300"/>
      <c r="I132" s="300"/>
    </row>
    <row r="133" spans="1:10" x14ac:dyDescent="0.25">
      <c r="A133" s="300"/>
      <c r="B133" s="955" t="s">
        <v>627</v>
      </c>
      <c r="C133" s="956"/>
      <c r="D133" s="957"/>
      <c r="E133" s="300"/>
      <c r="F133" s="300"/>
      <c r="G133" s="300"/>
      <c r="H133" s="300"/>
      <c r="I133" s="300"/>
    </row>
    <row r="134" spans="1:10" x14ac:dyDescent="0.25">
      <c r="A134" s="300"/>
      <c r="B134" s="967" t="s">
        <v>628</v>
      </c>
      <c r="C134" s="968"/>
      <c r="D134" s="969"/>
      <c r="E134" s="300"/>
      <c r="F134" s="300"/>
      <c r="G134" s="300"/>
      <c r="H134" s="300"/>
      <c r="I134" s="300"/>
    </row>
    <row r="135" spans="1:10" x14ac:dyDescent="0.25">
      <c r="A135" s="300"/>
      <c r="B135" s="675"/>
      <c r="C135" s="675"/>
      <c r="D135" s="675"/>
      <c r="E135" s="300"/>
      <c r="F135" s="300"/>
      <c r="G135" s="300"/>
      <c r="H135" s="300"/>
      <c r="I135" s="300"/>
    </row>
    <row r="136" spans="1:10" x14ac:dyDescent="0.25">
      <c r="A136" s="300"/>
      <c r="B136" s="306" t="s">
        <v>423</v>
      </c>
      <c r="C136" s="300"/>
      <c r="D136" s="300"/>
      <c r="E136" s="300"/>
      <c r="F136" s="300"/>
      <c r="G136" s="300"/>
      <c r="H136" s="300"/>
      <c r="I136" s="300"/>
    </row>
    <row r="137" spans="1:10" ht="43.2" customHeight="1" x14ac:dyDescent="0.25">
      <c r="A137" s="300"/>
      <c r="B137" s="676" t="s">
        <v>0</v>
      </c>
      <c r="C137" s="677"/>
      <c r="D137" s="677"/>
      <c r="E137" s="677"/>
      <c r="F137" s="677"/>
      <c r="G137" s="519" t="s">
        <v>421</v>
      </c>
      <c r="H137" s="678" t="str">
        <f>G114</f>
        <v>As at March 31, 2025</v>
      </c>
      <c r="I137" s="678" t="s">
        <v>845</v>
      </c>
    </row>
    <row r="138" spans="1:10" x14ac:dyDescent="0.25">
      <c r="A138" s="300"/>
      <c r="B138" s="964" t="s">
        <v>629</v>
      </c>
      <c r="C138" s="965"/>
      <c r="D138" s="965"/>
      <c r="E138" s="965"/>
      <c r="F138" s="966"/>
      <c r="G138" s="962" t="s">
        <v>422</v>
      </c>
      <c r="H138" s="169">
        <v>225000</v>
      </c>
      <c r="I138" s="169">
        <v>200000</v>
      </c>
      <c r="J138" s="679"/>
    </row>
    <row r="139" spans="1:10" x14ac:dyDescent="0.25">
      <c r="A139" s="300"/>
      <c r="B139" s="955" t="s">
        <v>965</v>
      </c>
      <c r="C139" s="956"/>
      <c r="D139" s="956"/>
      <c r="E139" s="956"/>
      <c r="F139" s="957"/>
      <c r="G139" s="963"/>
      <c r="H139" s="169">
        <v>47677</v>
      </c>
      <c r="I139" s="169">
        <v>0</v>
      </c>
      <c r="J139" s="679"/>
    </row>
    <row r="140" spans="1:10" ht="14.4" thickBot="1" x14ac:dyDescent="0.3">
      <c r="A140" s="300"/>
      <c r="B140" s="371"/>
      <c r="C140" s="372"/>
      <c r="D140" s="372"/>
      <c r="E140" s="372"/>
      <c r="F140" s="373"/>
      <c r="G140" s="680"/>
      <c r="H140" s="235">
        <f>SUM(H138:H139)</f>
        <v>272677</v>
      </c>
      <c r="I140" s="235">
        <f>SUM(I138:I139)</f>
        <v>200000</v>
      </c>
    </row>
    <row r="141" spans="1:10" ht="14.4" thickTop="1" x14ac:dyDescent="0.25">
      <c r="A141" s="300"/>
      <c r="B141" s="300"/>
      <c r="C141" s="300"/>
      <c r="D141" s="300"/>
      <c r="E141" s="300"/>
      <c r="F141" s="300"/>
      <c r="G141" s="300"/>
      <c r="H141" s="300"/>
      <c r="I141" s="300"/>
    </row>
    <row r="142" spans="1:10" x14ac:dyDescent="0.25">
      <c r="A142" s="385"/>
      <c r="B142" s="681"/>
      <c r="C142" s="681"/>
      <c r="D142" s="681"/>
      <c r="E142" s="681"/>
      <c r="F142" s="681"/>
      <c r="G142" s="681"/>
      <c r="H142" s="681"/>
      <c r="I142" s="681"/>
    </row>
    <row r="143" spans="1:10" x14ac:dyDescent="0.25">
      <c r="A143" s="385"/>
      <c r="B143" s="681"/>
      <c r="C143" s="681"/>
      <c r="D143" s="681"/>
      <c r="E143" s="681"/>
      <c r="F143" s="681"/>
      <c r="G143" s="681"/>
      <c r="H143" s="681"/>
      <c r="I143" s="681"/>
    </row>
    <row r="144" spans="1:10" x14ac:dyDescent="0.25">
      <c r="A144" s="385" t="s">
        <v>451</v>
      </c>
      <c r="B144" s="961" t="s">
        <v>452</v>
      </c>
      <c r="C144" s="961"/>
      <c r="D144" s="961"/>
      <c r="E144" s="961"/>
      <c r="F144" s="961"/>
      <c r="G144" s="961"/>
      <c r="H144" s="961"/>
      <c r="I144" s="961"/>
    </row>
    <row r="145" spans="1:9" x14ac:dyDescent="0.25">
      <c r="A145" s="385"/>
      <c r="B145" s="681"/>
      <c r="C145" s="681"/>
      <c r="D145" s="681"/>
      <c r="E145" s="681"/>
      <c r="F145" s="681"/>
      <c r="G145" s="681"/>
      <c r="H145" s="681"/>
      <c r="I145" s="681"/>
    </row>
    <row r="146" spans="1:9" x14ac:dyDescent="0.25">
      <c r="A146" s="300"/>
      <c r="B146" s="300"/>
      <c r="C146" s="300"/>
      <c r="D146" s="300"/>
      <c r="E146" s="300"/>
      <c r="F146" s="300"/>
      <c r="G146" s="300"/>
      <c r="H146" s="300"/>
      <c r="I146" s="300"/>
    </row>
    <row r="147" spans="1:9" ht="15" x14ac:dyDescent="0.25">
      <c r="A147" s="303" t="s">
        <v>968</v>
      </c>
      <c r="B147" s="300"/>
      <c r="C147" s="300"/>
      <c r="D147" s="301"/>
      <c r="E147" s="682"/>
      <c r="F147" s="683" t="s">
        <v>267</v>
      </c>
      <c r="G147" s="684"/>
      <c r="H147" s="684"/>
      <c r="I147" s="300"/>
    </row>
    <row r="148" spans="1:9" ht="15" x14ac:dyDescent="0.25">
      <c r="A148" s="303" t="s">
        <v>957</v>
      </c>
      <c r="B148" s="300"/>
      <c r="C148" s="300"/>
      <c r="D148" s="300"/>
      <c r="E148" s="300"/>
      <c r="F148" s="685" t="s">
        <v>455</v>
      </c>
      <c r="G148" s="300"/>
      <c r="H148" s="686"/>
      <c r="I148" s="300"/>
    </row>
    <row r="149" spans="1:9" ht="15" x14ac:dyDescent="0.25">
      <c r="A149" s="303" t="s">
        <v>958</v>
      </c>
      <c r="B149" s="300"/>
      <c r="C149" s="300"/>
      <c r="D149" s="300"/>
      <c r="E149" s="300"/>
      <c r="F149" s="300"/>
      <c r="G149" s="301"/>
      <c r="H149" s="682"/>
      <c r="I149" s="300"/>
    </row>
    <row r="150" spans="1:9" ht="15" x14ac:dyDescent="0.25">
      <c r="A150" s="303"/>
      <c r="B150" s="300"/>
      <c r="C150" s="300"/>
      <c r="D150" s="300"/>
      <c r="E150" s="300"/>
      <c r="F150" s="300"/>
      <c r="G150" s="301"/>
      <c r="H150" s="682"/>
      <c r="I150" s="300"/>
    </row>
    <row r="151" spans="1:9" x14ac:dyDescent="0.25">
      <c r="A151" s="299"/>
      <c r="B151" s="300"/>
      <c r="C151" s="300"/>
      <c r="D151" s="300"/>
      <c r="E151" s="300"/>
      <c r="F151" s="300"/>
      <c r="G151" s="301"/>
      <c r="H151" s="682"/>
      <c r="I151" s="300"/>
    </row>
    <row r="152" spans="1:9" x14ac:dyDescent="0.25">
      <c r="A152" s="299"/>
      <c r="B152" s="301"/>
      <c r="C152" s="300"/>
      <c r="D152" s="300"/>
      <c r="E152" s="300"/>
      <c r="F152" s="306" t="s">
        <v>547</v>
      </c>
      <c r="G152" s="301"/>
      <c r="H152" s="687" t="s">
        <v>549</v>
      </c>
      <c r="I152" s="300"/>
    </row>
    <row r="153" spans="1:9" ht="15" x14ac:dyDescent="0.25">
      <c r="A153" s="305" t="s">
        <v>959</v>
      </c>
      <c r="B153" s="300"/>
      <c r="C153" s="300"/>
      <c r="D153" s="300"/>
      <c r="E153" s="300"/>
      <c r="F153" s="300" t="s">
        <v>265</v>
      </c>
      <c r="G153" s="301"/>
      <c r="H153" s="301" t="s">
        <v>268</v>
      </c>
      <c r="I153" s="300"/>
    </row>
    <row r="154" spans="1:9" ht="15" x14ac:dyDescent="0.25">
      <c r="A154" s="303" t="s">
        <v>960</v>
      </c>
      <c r="B154" s="300"/>
      <c r="C154" s="300"/>
      <c r="D154" s="300"/>
      <c r="E154" s="300"/>
      <c r="F154" s="306" t="s">
        <v>548</v>
      </c>
      <c r="G154" s="301"/>
      <c r="H154" s="687" t="s">
        <v>550</v>
      </c>
      <c r="I154" s="300"/>
    </row>
    <row r="155" spans="1:9" ht="15" x14ac:dyDescent="0.25">
      <c r="A155" s="303" t="s">
        <v>961</v>
      </c>
      <c r="B155" s="300"/>
      <c r="C155" s="300"/>
      <c r="D155" s="300"/>
      <c r="E155" s="300"/>
      <c r="F155" s="300"/>
      <c r="G155" s="301"/>
      <c r="H155" s="682"/>
      <c r="I155" s="300"/>
    </row>
    <row r="156" spans="1:9" ht="15" x14ac:dyDescent="0.25">
      <c r="A156" s="303" t="s">
        <v>586</v>
      </c>
      <c r="B156" s="300"/>
      <c r="C156" s="300"/>
      <c r="D156" s="300"/>
      <c r="E156" s="300"/>
      <c r="F156" s="300"/>
      <c r="G156" s="301"/>
      <c r="H156" s="682"/>
      <c r="I156" s="300"/>
    </row>
    <row r="157" spans="1:9" ht="15" x14ac:dyDescent="0.25">
      <c r="A157" s="303" t="s">
        <v>962</v>
      </c>
      <c r="B157" s="300"/>
      <c r="C157" s="300"/>
      <c r="D157" s="300"/>
      <c r="E157" s="300"/>
      <c r="F157" s="300"/>
      <c r="G157" s="301"/>
      <c r="H157" s="682"/>
      <c r="I157" s="300"/>
    </row>
    <row r="158" spans="1:9" ht="15" x14ac:dyDescent="0.25">
      <c r="A158" s="303" t="s">
        <v>963</v>
      </c>
      <c r="B158" s="300"/>
      <c r="C158" s="300"/>
      <c r="D158" s="300"/>
      <c r="E158" s="300"/>
      <c r="F158" s="306" t="s">
        <v>551</v>
      </c>
      <c r="G158" s="301"/>
      <c r="H158" s="687" t="s">
        <v>964</v>
      </c>
      <c r="I158" s="300"/>
    </row>
    <row r="159" spans="1:9" x14ac:dyDescent="0.25">
      <c r="A159" s="299"/>
      <c r="B159" s="300"/>
      <c r="C159" s="300"/>
      <c r="D159" s="300"/>
      <c r="E159" s="300"/>
      <c r="F159" s="300" t="s">
        <v>269</v>
      </c>
      <c r="G159" s="301"/>
      <c r="H159" s="301" t="s">
        <v>266</v>
      </c>
      <c r="I159" s="300"/>
    </row>
    <row r="160" spans="1:9" x14ac:dyDescent="0.25">
      <c r="A160" s="299"/>
      <c r="B160" s="309"/>
      <c r="C160" s="300"/>
      <c r="D160" s="300"/>
      <c r="E160" s="300"/>
      <c r="F160" s="300"/>
      <c r="G160" s="300"/>
      <c r="H160" s="301"/>
      <c r="I160" s="682"/>
    </row>
    <row r="161" spans="1:9" x14ac:dyDescent="0.25">
      <c r="A161" s="299"/>
      <c r="B161" s="300"/>
      <c r="C161" s="300"/>
      <c r="D161" s="300"/>
      <c r="E161" s="300"/>
      <c r="F161" s="300"/>
      <c r="G161" s="300"/>
      <c r="H161" s="301"/>
      <c r="I161" s="682"/>
    </row>
  </sheetData>
  <mergeCells count="117">
    <mergeCell ref="B144:I144"/>
    <mergeCell ref="B121:F121"/>
    <mergeCell ref="B122:F122"/>
    <mergeCell ref="G138:G139"/>
    <mergeCell ref="B138:F138"/>
    <mergeCell ref="B139:F139"/>
    <mergeCell ref="B132:D132"/>
    <mergeCell ref="B133:D133"/>
    <mergeCell ref="B134:D134"/>
    <mergeCell ref="B108:C108"/>
    <mergeCell ref="B110:I110"/>
    <mergeCell ref="B111:I111"/>
    <mergeCell ref="B126:D126"/>
    <mergeCell ref="B127:D127"/>
    <mergeCell ref="B128:D128"/>
    <mergeCell ref="B129:D129"/>
    <mergeCell ref="B131:D131"/>
    <mergeCell ref="B114:F114"/>
    <mergeCell ref="B115:F115"/>
    <mergeCell ref="B116:F116"/>
    <mergeCell ref="B118:F118"/>
    <mergeCell ref="B119:F119"/>
    <mergeCell ref="B117:F117"/>
    <mergeCell ref="B103:C103"/>
    <mergeCell ref="B104:C104"/>
    <mergeCell ref="B105:C105"/>
    <mergeCell ref="B106:C106"/>
    <mergeCell ref="B107:C107"/>
    <mergeCell ref="B99:I99"/>
    <mergeCell ref="D101:E101"/>
    <mergeCell ref="F101:G101"/>
    <mergeCell ref="B101:C102"/>
    <mergeCell ref="G82:I82"/>
    <mergeCell ref="B84:F84"/>
    <mergeCell ref="B79:I79"/>
    <mergeCell ref="B97:F97"/>
    <mergeCell ref="G91:I91"/>
    <mergeCell ref="B93:F93"/>
    <mergeCell ref="B94:F94"/>
    <mergeCell ref="B95:F95"/>
    <mergeCell ref="B96:F96"/>
    <mergeCell ref="B91:F92"/>
    <mergeCell ref="B85:F85"/>
    <mergeCell ref="B86:F86"/>
    <mergeCell ref="B61:F61"/>
    <mergeCell ref="B62:F62"/>
    <mergeCell ref="B87:F87"/>
    <mergeCell ref="B88:F88"/>
    <mergeCell ref="B73:F73"/>
    <mergeCell ref="B76:F76"/>
    <mergeCell ref="B77:F77"/>
    <mergeCell ref="B82:F83"/>
    <mergeCell ref="B56:F56"/>
    <mergeCell ref="B71:F71"/>
    <mergeCell ref="B58:F58"/>
    <mergeCell ref="B57:F57"/>
    <mergeCell ref="B74:F74"/>
    <mergeCell ref="B75:F75"/>
    <mergeCell ref="B63:F63"/>
    <mergeCell ref="B65:F65"/>
    <mergeCell ref="B66:F66"/>
    <mergeCell ref="B67:F67"/>
    <mergeCell ref="B52:F52"/>
    <mergeCell ref="B53:F53"/>
    <mergeCell ref="B54:F54"/>
    <mergeCell ref="B55:F55"/>
    <mergeCell ref="B37:F38"/>
    <mergeCell ref="B39:F39"/>
    <mergeCell ref="B40:F40"/>
    <mergeCell ref="B41:F41"/>
    <mergeCell ref="B47:F47"/>
    <mergeCell ref="C7:D7"/>
    <mergeCell ref="B5:I5"/>
    <mergeCell ref="B34:I35"/>
    <mergeCell ref="C8:D8"/>
    <mergeCell ref="B9:B10"/>
    <mergeCell ref="C9:D9"/>
    <mergeCell ref="C10:D10"/>
    <mergeCell ref="C15:D15"/>
    <mergeCell ref="C16:D16"/>
    <mergeCell ref="C17:D17"/>
    <mergeCell ref="C18:D18"/>
    <mergeCell ref="C19:D19"/>
    <mergeCell ref="C20:D20"/>
    <mergeCell ref="C21:D21"/>
    <mergeCell ref="C22:D22"/>
    <mergeCell ref="C23:D23"/>
    <mergeCell ref="C32:D32"/>
    <mergeCell ref="C28:D28"/>
    <mergeCell ref="B29:B32"/>
    <mergeCell ref="C29:D29"/>
    <mergeCell ref="C30:D30"/>
    <mergeCell ref="C31:D31"/>
    <mergeCell ref="G37:H37"/>
    <mergeCell ref="G59:H59"/>
    <mergeCell ref="A1:I1"/>
    <mergeCell ref="A2:I2"/>
    <mergeCell ref="B59:F60"/>
    <mergeCell ref="C11:D11"/>
    <mergeCell ref="C12:D12"/>
    <mergeCell ref="C13:D13"/>
    <mergeCell ref="C14:D14"/>
    <mergeCell ref="B48:F48"/>
    <mergeCell ref="B49:F49"/>
    <mergeCell ref="B50:F50"/>
    <mergeCell ref="B51:F51"/>
    <mergeCell ref="B24:B26"/>
    <mergeCell ref="C24:D24"/>
    <mergeCell ref="C25:D25"/>
    <mergeCell ref="B42:F42"/>
    <mergeCell ref="B43:F43"/>
    <mergeCell ref="B44:F44"/>
    <mergeCell ref="B45:F45"/>
    <mergeCell ref="B46:F46"/>
    <mergeCell ref="C26:D26"/>
    <mergeCell ref="C27:D27"/>
    <mergeCell ref="C6:D6"/>
  </mergeCells>
  <printOptions horizontalCentered="1"/>
  <pageMargins left="0.19685039370078741" right="0.19685039370078741" top="0.19685039370078741" bottom="0.19685039370078741" header="0" footer="0"/>
  <pageSetup paperSize="9" scale="61" fitToHeight="18" orientation="portrait" horizontalDpi="300" verticalDpi="300" r:id="rId1"/>
  <rowBreaks count="2" manualBreakCount="2">
    <brk id="58" max="8" man="1"/>
    <brk id="111"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opLeftCell="A16" workbookViewId="0">
      <selection activeCell="E3" sqref="E3"/>
    </sheetView>
  </sheetViews>
  <sheetFormatPr defaultColWidth="9.33203125" defaultRowHeight="13.2" x14ac:dyDescent="0.25"/>
  <cols>
    <col min="1" max="1" width="27.44140625" style="20" bestFit="1" customWidth="1"/>
    <col min="2" max="2" width="15.5546875" style="20" bestFit="1" customWidth="1"/>
    <col min="3" max="3" width="21.5546875" style="20" bestFit="1" customWidth="1"/>
    <col min="4" max="4" width="10.44140625" style="37" customWidth="1"/>
    <col min="5" max="5" width="11.44140625" style="37" customWidth="1"/>
    <col min="6" max="6" width="12.33203125" style="37" customWidth="1"/>
    <col min="7" max="7" width="26.44140625" style="20" customWidth="1"/>
    <col min="8" max="8" width="12.5546875" style="20" bestFit="1" customWidth="1"/>
    <col min="9" max="256" width="9.33203125" style="20"/>
    <col min="257" max="257" width="27.44140625" style="20" bestFit="1" customWidth="1"/>
    <col min="258" max="258" width="15.5546875" style="20" bestFit="1" customWidth="1"/>
    <col min="259" max="259" width="21.5546875" style="20" bestFit="1" customWidth="1"/>
    <col min="260" max="260" width="10.44140625" style="20" customWidth="1"/>
    <col min="261" max="261" width="11.44140625" style="20" customWidth="1"/>
    <col min="262" max="262" width="12.33203125" style="20" customWidth="1"/>
    <col min="263" max="263" width="26.44140625" style="20" customWidth="1"/>
    <col min="264" max="264" width="12.5546875" style="20" bestFit="1" customWidth="1"/>
    <col min="265" max="512" width="9.33203125" style="20"/>
    <col min="513" max="513" width="27.44140625" style="20" bestFit="1" customWidth="1"/>
    <col min="514" max="514" width="15.5546875" style="20" bestFit="1" customWidth="1"/>
    <col min="515" max="515" width="21.5546875" style="20" bestFit="1" customWidth="1"/>
    <col min="516" max="516" width="10.44140625" style="20" customWidth="1"/>
    <col min="517" max="517" width="11.44140625" style="20" customWidth="1"/>
    <col min="518" max="518" width="12.33203125" style="20" customWidth="1"/>
    <col min="519" max="519" width="26.44140625" style="20" customWidth="1"/>
    <col min="520" max="520" width="12.5546875" style="20" bestFit="1" customWidth="1"/>
    <col min="521" max="768" width="9.33203125" style="20"/>
    <col min="769" max="769" width="27.44140625" style="20" bestFit="1" customWidth="1"/>
    <col min="770" max="770" width="15.5546875" style="20" bestFit="1" customWidth="1"/>
    <col min="771" max="771" width="21.5546875" style="20" bestFit="1" customWidth="1"/>
    <col min="772" max="772" width="10.44140625" style="20" customWidth="1"/>
    <col min="773" max="773" width="11.44140625" style="20" customWidth="1"/>
    <col min="774" max="774" width="12.33203125" style="20" customWidth="1"/>
    <col min="775" max="775" width="26.44140625" style="20" customWidth="1"/>
    <col min="776" max="776" width="12.5546875" style="20" bestFit="1" customWidth="1"/>
    <col min="777" max="1024" width="9.33203125" style="20"/>
    <col min="1025" max="1025" width="27.44140625" style="20" bestFit="1" customWidth="1"/>
    <col min="1026" max="1026" width="15.5546875" style="20" bestFit="1" customWidth="1"/>
    <col min="1027" max="1027" width="21.5546875" style="20" bestFit="1" customWidth="1"/>
    <col min="1028" max="1028" width="10.44140625" style="20" customWidth="1"/>
    <col min="1029" max="1029" width="11.44140625" style="20" customWidth="1"/>
    <col min="1030" max="1030" width="12.33203125" style="20" customWidth="1"/>
    <col min="1031" max="1031" width="26.44140625" style="20" customWidth="1"/>
    <col min="1032" max="1032" width="12.5546875" style="20" bestFit="1" customWidth="1"/>
    <col min="1033" max="1280" width="9.33203125" style="20"/>
    <col min="1281" max="1281" width="27.44140625" style="20" bestFit="1" customWidth="1"/>
    <col min="1282" max="1282" width="15.5546875" style="20" bestFit="1" customWidth="1"/>
    <col min="1283" max="1283" width="21.5546875" style="20" bestFit="1" customWidth="1"/>
    <col min="1284" max="1284" width="10.44140625" style="20" customWidth="1"/>
    <col min="1285" max="1285" width="11.44140625" style="20" customWidth="1"/>
    <col min="1286" max="1286" width="12.33203125" style="20" customWidth="1"/>
    <col min="1287" max="1287" width="26.44140625" style="20" customWidth="1"/>
    <col min="1288" max="1288" width="12.5546875" style="20" bestFit="1" customWidth="1"/>
    <col min="1289" max="1536" width="9.33203125" style="20"/>
    <col min="1537" max="1537" width="27.44140625" style="20" bestFit="1" customWidth="1"/>
    <col min="1538" max="1538" width="15.5546875" style="20" bestFit="1" customWidth="1"/>
    <col min="1539" max="1539" width="21.5546875" style="20" bestFit="1" customWidth="1"/>
    <col min="1540" max="1540" width="10.44140625" style="20" customWidth="1"/>
    <col min="1541" max="1541" width="11.44140625" style="20" customWidth="1"/>
    <col min="1542" max="1542" width="12.33203125" style="20" customWidth="1"/>
    <col min="1543" max="1543" width="26.44140625" style="20" customWidth="1"/>
    <col min="1544" max="1544" width="12.5546875" style="20" bestFit="1" customWidth="1"/>
    <col min="1545" max="1792" width="9.33203125" style="20"/>
    <col min="1793" max="1793" width="27.44140625" style="20" bestFit="1" customWidth="1"/>
    <col min="1794" max="1794" width="15.5546875" style="20" bestFit="1" customWidth="1"/>
    <col min="1795" max="1795" width="21.5546875" style="20" bestFit="1" customWidth="1"/>
    <col min="1796" max="1796" width="10.44140625" style="20" customWidth="1"/>
    <col min="1797" max="1797" width="11.44140625" style="20" customWidth="1"/>
    <col min="1798" max="1798" width="12.33203125" style="20" customWidth="1"/>
    <col min="1799" max="1799" width="26.44140625" style="20" customWidth="1"/>
    <col min="1800" max="1800" width="12.5546875" style="20" bestFit="1" customWidth="1"/>
    <col min="1801" max="2048" width="9.33203125" style="20"/>
    <col min="2049" max="2049" width="27.44140625" style="20" bestFit="1" customWidth="1"/>
    <col min="2050" max="2050" width="15.5546875" style="20" bestFit="1" customWidth="1"/>
    <col min="2051" max="2051" width="21.5546875" style="20" bestFit="1" customWidth="1"/>
    <col min="2052" max="2052" width="10.44140625" style="20" customWidth="1"/>
    <col min="2053" max="2053" width="11.44140625" style="20" customWidth="1"/>
    <col min="2054" max="2054" width="12.33203125" style="20" customWidth="1"/>
    <col min="2055" max="2055" width="26.44140625" style="20" customWidth="1"/>
    <col min="2056" max="2056" width="12.5546875" style="20" bestFit="1" customWidth="1"/>
    <col min="2057" max="2304" width="9.33203125" style="20"/>
    <col min="2305" max="2305" width="27.44140625" style="20" bestFit="1" customWidth="1"/>
    <col min="2306" max="2306" width="15.5546875" style="20" bestFit="1" customWidth="1"/>
    <col min="2307" max="2307" width="21.5546875" style="20" bestFit="1" customWidth="1"/>
    <col min="2308" max="2308" width="10.44140625" style="20" customWidth="1"/>
    <col min="2309" max="2309" width="11.44140625" style="20" customWidth="1"/>
    <col min="2310" max="2310" width="12.33203125" style="20" customWidth="1"/>
    <col min="2311" max="2311" width="26.44140625" style="20" customWidth="1"/>
    <col min="2312" max="2312" width="12.5546875" style="20" bestFit="1" customWidth="1"/>
    <col min="2313" max="2560" width="9.33203125" style="20"/>
    <col min="2561" max="2561" width="27.44140625" style="20" bestFit="1" customWidth="1"/>
    <col min="2562" max="2562" width="15.5546875" style="20" bestFit="1" customWidth="1"/>
    <col min="2563" max="2563" width="21.5546875" style="20" bestFit="1" customWidth="1"/>
    <col min="2564" max="2564" width="10.44140625" style="20" customWidth="1"/>
    <col min="2565" max="2565" width="11.44140625" style="20" customWidth="1"/>
    <col min="2566" max="2566" width="12.33203125" style="20" customWidth="1"/>
    <col min="2567" max="2567" width="26.44140625" style="20" customWidth="1"/>
    <col min="2568" max="2568" width="12.5546875" style="20" bestFit="1" customWidth="1"/>
    <col min="2569" max="2816" width="9.33203125" style="20"/>
    <col min="2817" max="2817" width="27.44140625" style="20" bestFit="1" customWidth="1"/>
    <col min="2818" max="2818" width="15.5546875" style="20" bestFit="1" customWidth="1"/>
    <col min="2819" max="2819" width="21.5546875" style="20" bestFit="1" customWidth="1"/>
    <col min="2820" max="2820" width="10.44140625" style="20" customWidth="1"/>
    <col min="2821" max="2821" width="11.44140625" style="20" customWidth="1"/>
    <col min="2822" max="2822" width="12.33203125" style="20" customWidth="1"/>
    <col min="2823" max="2823" width="26.44140625" style="20" customWidth="1"/>
    <col min="2824" max="2824" width="12.5546875" style="20" bestFit="1" customWidth="1"/>
    <col min="2825" max="3072" width="9.33203125" style="20"/>
    <col min="3073" max="3073" width="27.44140625" style="20" bestFit="1" customWidth="1"/>
    <col min="3074" max="3074" width="15.5546875" style="20" bestFit="1" customWidth="1"/>
    <col min="3075" max="3075" width="21.5546875" style="20" bestFit="1" customWidth="1"/>
    <col min="3076" max="3076" width="10.44140625" style="20" customWidth="1"/>
    <col min="3077" max="3077" width="11.44140625" style="20" customWidth="1"/>
    <col min="3078" max="3078" width="12.33203125" style="20" customWidth="1"/>
    <col min="3079" max="3079" width="26.44140625" style="20" customWidth="1"/>
    <col min="3080" max="3080" width="12.5546875" style="20" bestFit="1" customWidth="1"/>
    <col min="3081" max="3328" width="9.33203125" style="20"/>
    <col min="3329" max="3329" width="27.44140625" style="20" bestFit="1" customWidth="1"/>
    <col min="3330" max="3330" width="15.5546875" style="20" bestFit="1" customWidth="1"/>
    <col min="3331" max="3331" width="21.5546875" style="20" bestFit="1" customWidth="1"/>
    <col min="3332" max="3332" width="10.44140625" style="20" customWidth="1"/>
    <col min="3333" max="3333" width="11.44140625" style="20" customWidth="1"/>
    <col min="3334" max="3334" width="12.33203125" style="20" customWidth="1"/>
    <col min="3335" max="3335" width="26.44140625" style="20" customWidth="1"/>
    <col min="3336" max="3336" width="12.5546875" style="20" bestFit="1" customWidth="1"/>
    <col min="3337" max="3584" width="9.33203125" style="20"/>
    <col min="3585" max="3585" width="27.44140625" style="20" bestFit="1" customWidth="1"/>
    <col min="3586" max="3586" width="15.5546875" style="20" bestFit="1" customWidth="1"/>
    <col min="3587" max="3587" width="21.5546875" style="20" bestFit="1" customWidth="1"/>
    <col min="3588" max="3588" width="10.44140625" style="20" customWidth="1"/>
    <col min="3589" max="3589" width="11.44140625" style="20" customWidth="1"/>
    <col min="3590" max="3590" width="12.33203125" style="20" customWidth="1"/>
    <col min="3591" max="3591" width="26.44140625" style="20" customWidth="1"/>
    <col min="3592" max="3592" width="12.5546875" style="20" bestFit="1" customWidth="1"/>
    <col min="3593" max="3840" width="9.33203125" style="20"/>
    <col min="3841" max="3841" width="27.44140625" style="20" bestFit="1" customWidth="1"/>
    <col min="3842" max="3842" width="15.5546875" style="20" bestFit="1" customWidth="1"/>
    <col min="3843" max="3843" width="21.5546875" style="20" bestFit="1" customWidth="1"/>
    <col min="3844" max="3844" width="10.44140625" style="20" customWidth="1"/>
    <col min="3845" max="3845" width="11.44140625" style="20" customWidth="1"/>
    <col min="3846" max="3846" width="12.33203125" style="20" customWidth="1"/>
    <col min="3847" max="3847" width="26.44140625" style="20" customWidth="1"/>
    <col min="3848" max="3848" width="12.5546875" style="20" bestFit="1" customWidth="1"/>
    <col min="3849" max="4096" width="9.33203125" style="20"/>
    <col min="4097" max="4097" width="27.44140625" style="20" bestFit="1" customWidth="1"/>
    <col min="4098" max="4098" width="15.5546875" style="20" bestFit="1" customWidth="1"/>
    <col min="4099" max="4099" width="21.5546875" style="20" bestFit="1" customWidth="1"/>
    <col min="4100" max="4100" width="10.44140625" style="20" customWidth="1"/>
    <col min="4101" max="4101" width="11.44140625" style="20" customWidth="1"/>
    <col min="4102" max="4102" width="12.33203125" style="20" customWidth="1"/>
    <col min="4103" max="4103" width="26.44140625" style="20" customWidth="1"/>
    <col min="4104" max="4104" width="12.5546875" style="20" bestFit="1" customWidth="1"/>
    <col min="4105" max="4352" width="9.33203125" style="20"/>
    <col min="4353" max="4353" width="27.44140625" style="20" bestFit="1" customWidth="1"/>
    <col min="4354" max="4354" width="15.5546875" style="20" bestFit="1" customWidth="1"/>
    <col min="4355" max="4355" width="21.5546875" style="20" bestFit="1" customWidth="1"/>
    <col min="4356" max="4356" width="10.44140625" style="20" customWidth="1"/>
    <col min="4357" max="4357" width="11.44140625" style="20" customWidth="1"/>
    <col min="4358" max="4358" width="12.33203125" style="20" customWidth="1"/>
    <col min="4359" max="4359" width="26.44140625" style="20" customWidth="1"/>
    <col min="4360" max="4360" width="12.5546875" style="20" bestFit="1" customWidth="1"/>
    <col min="4361" max="4608" width="9.33203125" style="20"/>
    <col min="4609" max="4609" width="27.44140625" style="20" bestFit="1" customWidth="1"/>
    <col min="4610" max="4610" width="15.5546875" style="20" bestFit="1" customWidth="1"/>
    <col min="4611" max="4611" width="21.5546875" style="20" bestFit="1" customWidth="1"/>
    <col min="4612" max="4612" width="10.44140625" style="20" customWidth="1"/>
    <col min="4613" max="4613" width="11.44140625" style="20" customWidth="1"/>
    <col min="4614" max="4614" width="12.33203125" style="20" customWidth="1"/>
    <col min="4615" max="4615" width="26.44140625" style="20" customWidth="1"/>
    <col min="4616" max="4616" width="12.5546875" style="20" bestFit="1" customWidth="1"/>
    <col min="4617" max="4864" width="9.33203125" style="20"/>
    <col min="4865" max="4865" width="27.44140625" style="20" bestFit="1" customWidth="1"/>
    <col min="4866" max="4866" width="15.5546875" style="20" bestFit="1" customWidth="1"/>
    <col min="4867" max="4867" width="21.5546875" style="20" bestFit="1" customWidth="1"/>
    <col min="4868" max="4868" width="10.44140625" style="20" customWidth="1"/>
    <col min="4869" max="4869" width="11.44140625" style="20" customWidth="1"/>
    <col min="4870" max="4870" width="12.33203125" style="20" customWidth="1"/>
    <col min="4871" max="4871" width="26.44140625" style="20" customWidth="1"/>
    <col min="4872" max="4872" width="12.5546875" style="20" bestFit="1" customWidth="1"/>
    <col min="4873" max="5120" width="9.33203125" style="20"/>
    <col min="5121" max="5121" width="27.44140625" style="20" bestFit="1" customWidth="1"/>
    <col min="5122" max="5122" width="15.5546875" style="20" bestFit="1" customWidth="1"/>
    <col min="5123" max="5123" width="21.5546875" style="20" bestFit="1" customWidth="1"/>
    <col min="5124" max="5124" width="10.44140625" style="20" customWidth="1"/>
    <col min="5125" max="5125" width="11.44140625" style="20" customWidth="1"/>
    <col min="5126" max="5126" width="12.33203125" style="20" customWidth="1"/>
    <col min="5127" max="5127" width="26.44140625" style="20" customWidth="1"/>
    <col min="5128" max="5128" width="12.5546875" style="20" bestFit="1" customWidth="1"/>
    <col min="5129" max="5376" width="9.33203125" style="20"/>
    <col min="5377" max="5377" width="27.44140625" style="20" bestFit="1" customWidth="1"/>
    <col min="5378" max="5378" width="15.5546875" style="20" bestFit="1" customWidth="1"/>
    <col min="5379" max="5379" width="21.5546875" style="20" bestFit="1" customWidth="1"/>
    <col min="5380" max="5380" width="10.44140625" style="20" customWidth="1"/>
    <col min="5381" max="5381" width="11.44140625" style="20" customWidth="1"/>
    <col min="5382" max="5382" width="12.33203125" style="20" customWidth="1"/>
    <col min="5383" max="5383" width="26.44140625" style="20" customWidth="1"/>
    <col min="5384" max="5384" width="12.5546875" style="20" bestFit="1" customWidth="1"/>
    <col min="5385" max="5632" width="9.33203125" style="20"/>
    <col min="5633" max="5633" width="27.44140625" style="20" bestFit="1" customWidth="1"/>
    <col min="5634" max="5634" width="15.5546875" style="20" bestFit="1" customWidth="1"/>
    <col min="5635" max="5635" width="21.5546875" style="20" bestFit="1" customWidth="1"/>
    <col min="5636" max="5636" width="10.44140625" style="20" customWidth="1"/>
    <col min="5637" max="5637" width="11.44140625" style="20" customWidth="1"/>
    <col min="5638" max="5638" width="12.33203125" style="20" customWidth="1"/>
    <col min="5639" max="5639" width="26.44140625" style="20" customWidth="1"/>
    <col min="5640" max="5640" width="12.5546875" style="20" bestFit="1" customWidth="1"/>
    <col min="5641" max="5888" width="9.33203125" style="20"/>
    <col min="5889" max="5889" width="27.44140625" style="20" bestFit="1" customWidth="1"/>
    <col min="5890" max="5890" width="15.5546875" style="20" bestFit="1" customWidth="1"/>
    <col min="5891" max="5891" width="21.5546875" style="20" bestFit="1" customWidth="1"/>
    <col min="5892" max="5892" width="10.44140625" style="20" customWidth="1"/>
    <col min="5893" max="5893" width="11.44140625" style="20" customWidth="1"/>
    <col min="5894" max="5894" width="12.33203125" style="20" customWidth="1"/>
    <col min="5895" max="5895" width="26.44140625" style="20" customWidth="1"/>
    <col min="5896" max="5896" width="12.5546875" style="20" bestFit="1" customWidth="1"/>
    <col min="5897" max="6144" width="9.33203125" style="20"/>
    <col min="6145" max="6145" width="27.44140625" style="20" bestFit="1" customWidth="1"/>
    <col min="6146" max="6146" width="15.5546875" style="20" bestFit="1" customWidth="1"/>
    <col min="6147" max="6147" width="21.5546875" style="20" bestFit="1" customWidth="1"/>
    <col min="6148" max="6148" width="10.44140625" style="20" customWidth="1"/>
    <col min="6149" max="6149" width="11.44140625" style="20" customWidth="1"/>
    <col min="6150" max="6150" width="12.33203125" style="20" customWidth="1"/>
    <col min="6151" max="6151" width="26.44140625" style="20" customWidth="1"/>
    <col min="6152" max="6152" width="12.5546875" style="20" bestFit="1" customWidth="1"/>
    <col min="6153" max="6400" width="9.33203125" style="20"/>
    <col min="6401" max="6401" width="27.44140625" style="20" bestFit="1" customWidth="1"/>
    <col min="6402" max="6402" width="15.5546875" style="20" bestFit="1" customWidth="1"/>
    <col min="6403" max="6403" width="21.5546875" style="20" bestFit="1" customWidth="1"/>
    <col min="6404" max="6404" width="10.44140625" style="20" customWidth="1"/>
    <col min="6405" max="6405" width="11.44140625" style="20" customWidth="1"/>
    <col min="6406" max="6406" width="12.33203125" style="20" customWidth="1"/>
    <col min="6407" max="6407" width="26.44140625" style="20" customWidth="1"/>
    <col min="6408" max="6408" width="12.5546875" style="20" bestFit="1" customWidth="1"/>
    <col min="6409" max="6656" width="9.33203125" style="20"/>
    <col min="6657" max="6657" width="27.44140625" style="20" bestFit="1" customWidth="1"/>
    <col min="6658" max="6658" width="15.5546875" style="20" bestFit="1" customWidth="1"/>
    <col min="6659" max="6659" width="21.5546875" style="20" bestFit="1" customWidth="1"/>
    <col min="6660" max="6660" width="10.44140625" style="20" customWidth="1"/>
    <col min="6661" max="6661" width="11.44140625" style="20" customWidth="1"/>
    <col min="6662" max="6662" width="12.33203125" style="20" customWidth="1"/>
    <col min="6663" max="6663" width="26.44140625" style="20" customWidth="1"/>
    <col min="6664" max="6664" width="12.5546875" style="20" bestFit="1" customWidth="1"/>
    <col min="6665" max="6912" width="9.33203125" style="20"/>
    <col min="6913" max="6913" width="27.44140625" style="20" bestFit="1" customWidth="1"/>
    <col min="6914" max="6914" width="15.5546875" style="20" bestFit="1" customWidth="1"/>
    <col min="6915" max="6915" width="21.5546875" style="20" bestFit="1" customWidth="1"/>
    <col min="6916" max="6916" width="10.44140625" style="20" customWidth="1"/>
    <col min="6917" max="6917" width="11.44140625" style="20" customWidth="1"/>
    <col min="6918" max="6918" width="12.33203125" style="20" customWidth="1"/>
    <col min="6919" max="6919" width="26.44140625" style="20" customWidth="1"/>
    <col min="6920" max="6920" width="12.5546875" style="20" bestFit="1" customWidth="1"/>
    <col min="6921" max="7168" width="9.33203125" style="20"/>
    <col min="7169" max="7169" width="27.44140625" style="20" bestFit="1" customWidth="1"/>
    <col min="7170" max="7170" width="15.5546875" style="20" bestFit="1" customWidth="1"/>
    <col min="7171" max="7171" width="21.5546875" style="20" bestFit="1" customWidth="1"/>
    <col min="7172" max="7172" width="10.44140625" style="20" customWidth="1"/>
    <col min="7173" max="7173" width="11.44140625" style="20" customWidth="1"/>
    <col min="7174" max="7174" width="12.33203125" style="20" customWidth="1"/>
    <col min="7175" max="7175" width="26.44140625" style="20" customWidth="1"/>
    <col min="7176" max="7176" width="12.5546875" style="20" bestFit="1" customWidth="1"/>
    <col min="7177" max="7424" width="9.33203125" style="20"/>
    <col min="7425" max="7425" width="27.44140625" style="20" bestFit="1" customWidth="1"/>
    <col min="7426" max="7426" width="15.5546875" style="20" bestFit="1" customWidth="1"/>
    <col min="7427" max="7427" width="21.5546875" style="20" bestFit="1" customWidth="1"/>
    <col min="7428" max="7428" width="10.44140625" style="20" customWidth="1"/>
    <col min="7429" max="7429" width="11.44140625" style="20" customWidth="1"/>
    <col min="7430" max="7430" width="12.33203125" style="20" customWidth="1"/>
    <col min="7431" max="7431" width="26.44140625" style="20" customWidth="1"/>
    <col min="7432" max="7432" width="12.5546875" style="20" bestFit="1" customWidth="1"/>
    <col min="7433" max="7680" width="9.33203125" style="20"/>
    <col min="7681" max="7681" width="27.44140625" style="20" bestFit="1" customWidth="1"/>
    <col min="7682" max="7682" width="15.5546875" style="20" bestFit="1" customWidth="1"/>
    <col min="7683" max="7683" width="21.5546875" style="20" bestFit="1" customWidth="1"/>
    <col min="7684" max="7684" width="10.44140625" style="20" customWidth="1"/>
    <col min="7685" max="7685" width="11.44140625" style="20" customWidth="1"/>
    <col min="7686" max="7686" width="12.33203125" style="20" customWidth="1"/>
    <col min="7687" max="7687" width="26.44140625" style="20" customWidth="1"/>
    <col min="7688" max="7688" width="12.5546875" style="20" bestFit="1" customWidth="1"/>
    <col min="7689" max="7936" width="9.33203125" style="20"/>
    <col min="7937" max="7937" width="27.44140625" style="20" bestFit="1" customWidth="1"/>
    <col min="7938" max="7938" width="15.5546875" style="20" bestFit="1" customWidth="1"/>
    <col min="7939" max="7939" width="21.5546875" style="20" bestFit="1" customWidth="1"/>
    <col min="7940" max="7940" width="10.44140625" style="20" customWidth="1"/>
    <col min="7941" max="7941" width="11.44140625" style="20" customWidth="1"/>
    <col min="7942" max="7942" width="12.33203125" style="20" customWidth="1"/>
    <col min="7943" max="7943" width="26.44140625" style="20" customWidth="1"/>
    <col min="7944" max="7944" width="12.5546875" style="20" bestFit="1" customWidth="1"/>
    <col min="7945" max="8192" width="9.33203125" style="20"/>
    <col min="8193" max="8193" width="27.44140625" style="20" bestFit="1" customWidth="1"/>
    <col min="8194" max="8194" width="15.5546875" style="20" bestFit="1" customWidth="1"/>
    <col min="8195" max="8195" width="21.5546875" style="20" bestFit="1" customWidth="1"/>
    <col min="8196" max="8196" width="10.44140625" style="20" customWidth="1"/>
    <col min="8197" max="8197" width="11.44140625" style="20" customWidth="1"/>
    <col min="8198" max="8198" width="12.33203125" style="20" customWidth="1"/>
    <col min="8199" max="8199" width="26.44140625" style="20" customWidth="1"/>
    <col min="8200" max="8200" width="12.5546875" style="20" bestFit="1" customWidth="1"/>
    <col min="8201" max="8448" width="9.33203125" style="20"/>
    <col min="8449" max="8449" width="27.44140625" style="20" bestFit="1" customWidth="1"/>
    <col min="8450" max="8450" width="15.5546875" style="20" bestFit="1" customWidth="1"/>
    <col min="8451" max="8451" width="21.5546875" style="20" bestFit="1" customWidth="1"/>
    <col min="8452" max="8452" width="10.44140625" style="20" customWidth="1"/>
    <col min="8453" max="8453" width="11.44140625" style="20" customWidth="1"/>
    <col min="8454" max="8454" width="12.33203125" style="20" customWidth="1"/>
    <col min="8455" max="8455" width="26.44140625" style="20" customWidth="1"/>
    <col min="8456" max="8456" width="12.5546875" style="20" bestFit="1" customWidth="1"/>
    <col min="8457" max="8704" width="9.33203125" style="20"/>
    <col min="8705" max="8705" width="27.44140625" style="20" bestFit="1" customWidth="1"/>
    <col min="8706" max="8706" width="15.5546875" style="20" bestFit="1" customWidth="1"/>
    <col min="8707" max="8707" width="21.5546875" style="20" bestFit="1" customWidth="1"/>
    <col min="8708" max="8708" width="10.44140625" style="20" customWidth="1"/>
    <col min="8709" max="8709" width="11.44140625" style="20" customWidth="1"/>
    <col min="8710" max="8710" width="12.33203125" style="20" customWidth="1"/>
    <col min="8711" max="8711" width="26.44140625" style="20" customWidth="1"/>
    <col min="8712" max="8712" width="12.5546875" style="20" bestFit="1" customWidth="1"/>
    <col min="8713" max="8960" width="9.33203125" style="20"/>
    <col min="8961" max="8961" width="27.44140625" style="20" bestFit="1" customWidth="1"/>
    <col min="8962" max="8962" width="15.5546875" style="20" bestFit="1" customWidth="1"/>
    <col min="8963" max="8963" width="21.5546875" style="20" bestFit="1" customWidth="1"/>
    <col min="8964" max="8964" width="10.44140625" style="20" customWidth="1"/>
    <col min="8965" max="8965" width="11.44140625" style="20" customWidth="1"/>
    <col min="8966" max="8966" width="12.33203125" style="20" customWidth="1"/>
    <col min="8967" max="8967" width="26.44140625" style="20" customWidth="1"/>
    <col min="8968" max="8968" width="12.5546875" style="20" bestFit="1" customWidth="1"/>
    <col min="8969" max="9216" width="9.33203125" style="20"/>
    <col min="9217" max="9217" width="27.44140625" style="20" bestFit="1" customWidth="1"/>
    <col min="9218" max="9218" width="15.5546875" style="20" bestFit="1" customWidth="1"/>
    <col min="9219" max="9219" width="21.5546875" style="20" bestFit="1" customWidth="1"/>
    <col min="9220" max="9220" width="10.44140625" style="20" customWidth="1"/>
    <col min="9221" max="9221" width="11.44140625" style="20" customWidth="1"/>
    <col min="9222" max="9222" width="12.33203125" style="20" customWidth="1"/>
    <col min="9223" max="9223" width="26.44140625" style="20" customWidth="1"/>
    <col min="9224" max="9224" width="12.5546875" style="20" bestFit="1" customWidth="1"/>
    <col min="9225" max="9472" width="9.33203125" style="20"/>
    <col min="9473" max="9473" width="27.44140625" style="20" bestFit="1" customWidth="1"/>
    <col min="9474" max="9474" width="15.5546875" style="20" bestFit="1" customWidth="1"/>
    <col min="9475" max="9475" width="21.5546875" style="20" bestFit="1" customWidth="1"/>
    <col min="9476" max="9476" width="10.44140625" style="20" customWidth="1"/>
    <col min="9477" max="9477" width="11.44140625" style="20" customWidth="1"/>
    <col min="9478" max="9478" width="12.33203125" style="20" customWidth="1"/>
    <col min="9479" max="9479" width="26.44140625" style="20" customWidth="1"/>
    <col min="9480" max="9480" width="12.5546875" style="20" bestFit="1" customWidth="1"/>
    <col min="9481" max="9728" width="9.33203125" style="20"/>
    <col min="9729" max="9729" width="27.44140625" style="20" bestFit="1" customWidth="1"/>
    <col min="9730" max="9730" width="15.5546875" style="20" bestFit="1" customWidth="1"/>
    <col min="9731" max="9731" width="21.5546875" style="20" bestFit="1" customWidth="1"/>
    <col min="9732" max="9732" width="10.44140625" style="20" customWidth="1"/>
    <col min="9733" max="9733" width="11.44140625" style="20" customWidth="1"/>
    <col min="9734" max="9734" width="12.33203125" style="20" customWidth="1"/>
    <col min="9735" max="9735" width="26.44140625" style="20" customWidth="1"/>
    <col min="9736" max="9736" width="12.5546875" style="20" bestFit="1" customWidth="1"/>
    <col min="9737" max="9984" width="9.33203125" style="20"/>
    <col min="9985" max="9985" width="27.44140625" style="20" bestFit="1" customWidth="1"/>
    <col min="9986" max="9986" width="15.5546875" style="20" bestFit="1" customWidth="1"/>
    <col min="9987" max="9987" width="21.5546875" style="20" bestFit="1" customWidth="1"/>
    <col min="9988" max="9988" width="10.44140625" style="20" customWidth="1"/>
    <col min="9989" max="9989" width="11.44140625" style="20" customWidth="1"/>
    <col min="9990" max="9990" width="12.33203125" style="20" customWidth="1"/>
    <col min="9991" max="9991" width="26.44140625" style="20" customWidth="1"/>
    <col min="9992" max="9992" width="12.5546875" style="20" bestFit="1" customWidth="1"/>
    <col min="9993" max="10240" width="9.33203125" style="20"/>
    <col min="10241" max="10241" width="27.44140625" style="20" bestFit="1" customWidth="1"/>
    <col min="10242" max="10242" width="15.5546875" style="20" bestFit="1" customWidth="1"/>
    <col min="10243" max="10243" width="21.5546875" style="20" bestFit="1" customWidth="1"/>
    <col min="10244" max="10244" width="10.44140625" style="20" customWidth="1"/>
    <col min="10245" max="10245" width="11.44140625" style="20" customWidth="1"/>
    <col min="10246" max="10246" width="12.33203125" style="20" customWidth="1"/>
    <col min="10247" max="10247" width="26.44140625" style="20" customWidth="1"/>
    <col min="10248" max="10248" width="12.5546875" style="20" bestFit="1" customWidth="1"/>
    <col min="10249" max="10496" width="9.33203125" style="20"/>
    <col min="10497" max="10497" width="27.44140625" style="20" bestFit="1" customWidth="1"/>
    <col min="10498" max="10498" width="15.5546875" style="20" bestFit="1" customWidth="1"/>
    <col min="10499" max="10499" width="21.5546875" style="20" bestFit="1" customWidth="1"/>
    <col min="10500" max="10500" width="10.44140625" style="20" customWidth="1"/>
    <col min="10501" max="10501" width="11.44140625" style="20" customWidth="1"/>
    <col min="10502" max="10502" width="12.33203125" style="20" customWidth="1"/>
    <col min="10503" max="10503" width="26.44140625" style="20" customWidth="1"/>
    <col min="10504" max="10504" width="12.5546875" style="20" bestFit="1" customWidth="1"/>
    <col min="10505" max="10752" width="9.33203125" style="20"/>
    <col min="10753" max="10753" width="27.44140625" style="20" bestFit="1" customWidth="1"/>
    <col min="10754" max="10754" width="15.5546875" style="20" bestFit="1" customWidth="1"/>
    <col min="10755" max="10755" width="21.5546875" style="20" bestFit="1" customWidth="1"/>
    <col min="10756" max="10756" width="10.44140625" style="20" customWidth="1"/>
    <col min="10757" max="10757" width="11.44140625" style="20" customWidth="1"/>
    <col min="10758" max="10758" width="12.33203125" style="20" customWidth="1"/>
    <col min="10759" max="10759" width="26.44140625" style="20" customWidth="1"/>
    <col min="10760" max="10760" width="12.5546875" style="20" bestFit="1" customWidth="1"/>
    <col min="10761" max="11008" width="9.33203125" style="20"/>
    <col min="11009" max="11009" width="27.44140625" style="20" bestFit="1" customWidth="1"/>
    <col min="11010" max="11010" width="15.5546875" style="20" bestFit="1" customWidth="1"/>
    <col min="11011" max="11011" width="21.5546875" style="20" bestFit="1" customWidth="1"/>
    <col min="11012" max="11012" width="10.44140625" style="20" customWidth="1"/>
    <col min="11013" max="11013" width="11.44140625" style="20" customWidth="1"/>
    <col min="11014" max="11014" width="12.33203125" style="20" customWidth="1"/>
    <col min="11015" max="11015" width="26.44140625" style="20" customWidth="1"/>
    <col min="11016" max="11016" width="12.5546875" style="20" bestFit="1" customWidth="1"/>
    <col min="11017" max="11264" width="9.33203125" style="20"/>
    <col min="11265" max="11265" width="27.44140625" style="20" bestFit="1" customWidth="1"/>
    <col min="11266" max="11266" width="15.5546875" style="20" bestFit="1" customWidth="1"/>
    <col min="11267" max="11267" width="21.5546875" style="20" bestFit="1" customWidth="1"/>
    <col min="11268" max="11268" width="10.44140625" style="20" customWidth="1"/>
    <col min="11269" max="11269" width="11.44140625" style="20" customWidth="1"/>
    <col min="11270" max="11270" width="12.33203125" style="20" customWidth="1"/>
    <col min="11271" max="11271" width="26.44140625" style="20" customWidth="1"/>
    <col min="11272" max="11272" width="12.5546875" style="20" bestFit="1" customWidth="1"/>
    <col min="11273" max="11520" width="9.33203125" style="20"/>
    <col min="11521" max="11521" width="27.44140625" style="20" bestFit="1" customWidth="1"/>
    <col min="11522" max="11522" width="15.5546875" style="20" bestFit="1" customWidth="1"/>
    <col min="11523" max="11523" width="21.5546875" style="20" bestFit="1" customWidth="1"/>
    <col min="11524" max="11524" width="10.44140625" style="20" customWidth="1"/>
    <col min="11525" max="11525" width="11.44140625" style="20" customWidth="1"/>
    <col min="11526" max="11526" width="12.33203125" style="20" customWidth="1"/>
    <col min="11527" max="11527" width="26.44140625" style="20" customWidth="1"/>
    <col min="11528" max="11528" width="12.5546875" style="20" bestFit="1" customWidth="1"/>
    <col min="11529" max="11776" width="9.33203125" style="20"/>
    <col min="11777" max="11777" width="27.44140625" style="20" bestFit="1" customWidth="1"/>
    <col min="11778" max="11778" width="15.5546875" style="20" bestFit="1" customWidth="1"/>
    <col min="11779" max="11779" width="21.5546875" style="20" bestFit="1" customWidth="1"/>
    <col min="11780" max="11780" width="10.44140625" style="20" customWidth="1"/>
    <col min="11781" max="11781" width="11.44140625" style="20" customWidth="1"/>
    <col min="11782" max="11782" width="12.33203125" style="20" customWidth="1"/>
    <col min="11783" max="11783" width="26.44140625" style="20" customWidth="1"/>
    <col min="11784" max="11784" width="12.5546875" style="20" bestFit="1" customWidth="1"/>
    <col min="11785" max="12032" width="9.33203125" style="20"/>
    <col min="12033" max="12033" width="27.44140625" style="20" bestFit="1" customWidth="1"/>
    <col min="12034" max="12034" width="15.5546875" style="20" bestFit="1" customWidth="1"/>
    <col min="12035" max="12035" width="21.5546875" style="20" bestFit="1" customWidth="1"/>
    <col min="12036" max="12036" width="10.44140625" style="20" customWidth="1"/>
    <col min="12037" max="12037" width="11.44140625" style="20" customWidth="1"/>
    <col min="12038" max="12038" width="12.33203125" style="20" customWidth="1"/>
    <col min="12039" max="12039" width="26.44140625" style="20" customWidth="1"/>
    <col min="12040" max="12040" width="12.5546875" style="20" bestFit="1" customWidth="1"/>
    <col min="12041" max="12288" width="9.33203125" style="20"/>
    <col min="12289" max="12289" width="27.44140625" style="20" bestFit="1" customWidth="1"/>
    <col min="12290" max="12290" width="15.5546875" style="20" bestFit="1" customWidth="1"/>
    <col min="12291" max="12291" width="21.5546875" style="20" bestFit="1" customWidth="1"/>
    <col min="12292" max="12292" width="10.44140625" style="20" customWidth="1"/>
    <col min="12293" max="12293" width="11.44140625" style="20" customWidth="1"/>
    <col min="12294" max="12294" width="12.33203125" style="20" customWidth="1"/>
    <col min="12295" max="12295" width="26.44140625" style="20" customWidth="1"/>
    <col min="12296" max="12296" width="12.5546875" style="20" bestFit="1" customWidth="1"/>
    <col min="12297" max="12544" width="9.33203125" style="20"/>
    <col min="12545" max="12545" width="27.44140625" style="20" bestFit="1" customWidth="1"/>
    <col min="12546" max="12546" width="15.5546875" style="20" bestFit="1" customWidth="1"/>
    <col min="12547" max="12547" width="21.5546875" style="20" bestFit="1" customWidth="1"/>
    <col min="12548" max="12548" width="10.44140625" style="20" customWidth="1"/>
    <col min="12549" max="12549" width="11.44140625" style="20" customWidth="1"/>
    <col min="12550" max="12550" width="12.33203125" style="20" customWidth="1"/>
    <col min="12551" max="12551" width="26.44140625" style="20" customWidth="1"/>
    <col min="12552" max="12552" width="12.5546875" style="20" bestFit="1" customWidth="1"/>
    <col min="12553" max="12800" width="9.33203125" style="20"/>
    <col min="12801" max="12801" width="27.44140625" style="20" bestFit="1" customWidth="1"/>
    <col min="12802" max="12802" width="15.5546875" style="20" bestFit="1" customWidth="1"/>
    <col min="12803" max="12803" width="21.5546875" style="20" bestFit="1" customWidth="1"/>
    <col min="12804" max="12804" width="10.44140625" style="20" customWidth="1"/>
    <col min="12805" max="12805" width="11.44140625" style="20" customWidth="1"/>
    <col min="12806" max="12806" width="12.33203125" style="20" customWidth="1"/>
    <col min="12807" max="12807" width="26.44140625" style="20" customWidth="1"/>
    <col min="12808" max="12808" width="12.5546875" style="20" bestFit="1" customWidth="1"/>
    <col min="12809" max="13056" width="9.33203125" style="20"/>
    <col min="13057" max="13057" width="27.44140625" style="20" bestFit="1" customWidth="1"/>
    <col min="13058" max="13058" width="15.5546875" style="20" bestFit="1" customWidth="1"/>
    <col min="13059" max="13059" width="21.5546875" style="20" bestFit="1" customWidth="1"/>
    <col min="13060" max="13060" width="10.44140625" style="20" customWidth="1"/>
    <col min="13061" max="13061" width="11.44140625" style="20" customWidth="1"/>
    <col min="13062" max="13062" width="12.33203125" style="20" customWidth="1"/>
    <col min="13063" max="13063" width="26.44140625" style="20" customWidth="1"/>
    <col min="13064" max="13064" width="12.5546875" style="20" bestFit="1" customWidth="1"/>
    <col min="13065" max="13312" width="9.33203125" style="20"/>
    <col min="13313" max="13313" width="27.44140625" style="20" bestFit="1" customWidth="1"/>
    <col min="13314" max="13314" width="15.5546875" style="20" bestFit="1" customWidth="1"/>
    <col min="13315" max="13315" width="21.5546875" style="20" bestFit="1" customWidth="1"/>
    <col min="13316" max="13316" width="10.44140625" style="20" customWidth="1"/>
    <col min="13317" max="13317" width="11.44140625" style="20" customWidth="1"/>
    <col min="13318" max="13318" width="12.33203125" style="20" customWidth="1"/>
    <col min="13319" max="13319" width="26.44140625" style="20" customWidth="1"/>
    <col min="13320" max="13320" width="12.5546875" style="20" bestFit="1" customWidth="1"/>
    <col min="13321" max="13568" width="9.33203125" style="20"/>
    <col min="13569" max="13569" width="27.44140625" style="20" bestFit="1" customWidth="1"/>
    <col min="13570" max="13570" width="15.5546875" style="20" bestFit="1" customWidth="1"/>
    <col min="13571" max="13571" width="21.5546875" style="20" bestFit="1" customWidth="1"/>
    <col min="13572" max="13572" width="10.44140625" style="20" customWidth="1"/>
    <col min="13573" max="13573" width="11.44140625" style="20" customWidth="1"/>
    <col min="13574" max="13574" width="12.33203125" style="20" customWidth="1"/>
    <col min="13575" max="13575" width="26.44140625" style="20" customWidth="1"/>
    <col min="13576" max="13576" width="12.5546875" style="20" bestFit="1" customWidth="1"/>
    <col min="13577" max="13824" width="9.33203125" style="20"/>
    <col min="13825" max="13825" width="27.44140625" style="20" bestFit="1" customWidth="1"/>
    <col min="13826" max="13826" width="15.5546875" style="20" bestFit="1" customWidth="1"/>
    <col min="13827" max="13827" width="21.5546875" style="20" bestFit="1" customWidth="1"/>
    <col min="13828" max="13828" width="10.44140625" style="20" customWidth="1"/>
    <col min="13829" max="13829" width="11.44140625" style="20" customWidth="1"/>
    <col min="13830" max="13830" width="12.33203125" style="20" customWidth="1"/>
    <col min="13831" max="13831" width="26.44140625" style="20" customWidth="1"/>
    <col min="13832" max="13832" width="12.5546875" style="20" bestFit="1" customWidth="1"/>
    <col min="13833" max="14080" width="9.33203125" style="20"/>
    <col min="14081" max="14081" width="27.44140625" style="20" bestFit="1" customWidth="1"/>
    <col min="14082" max="14082" width="15.5546875" style="20" bestFit="1" customWidth="1"/>
    <col min="14083" max="14083" width="21.5546875" style="20" bestFit="1" customWidth="1"/>
    <col min="14084" max="14084" width="10.44140625" style="20" customWidth="1"/>
    <col min="14085" max="14085" width="11.44140625" style="20" customWidth="1"/>
    <col min="14086" max="14086" width="12.33203125" style="20" customWidth="1"/>
    <col min="14087" max="14087" width="26.44140625" style="20" customWidth="1"/>
    <col min="14088" max="14088" width="12.5546875" style="20" bestFit="1" customWidth="1"/>
    <col min="14089" max="14336" width="9.33203125" style="20"/>
    <col min="14337" max="14337" width="27.44140625" style="20" bestFit="1" customWidth="1"/>
    <col min="14338" max="14338" width="15.5546875" style="20" bestFit="1" customWidth="1"/>
    <col min="14339" max="14339" width="21.5546875" style="20" bestFit="1" customWidth="1"/>
    <col min="14340" max="14340" width="10.44140625" style="20" customWidth="1"/>
    <col min="14341" max="14341" width="11.44140625" style="20" customWidth="1"/>
    <col min="14342" max="14342" width="12.33203125" style="20" customWidth="1"/>
    <col min="14343" max="14343" width="26.44140625" style="20" customWidth="1"/>
    <col min="14344" max="14344" width="12.5546875" style="20" bestFit="1" customWidth="1"/>
    <col min="14345" max="14592" width="9.33203125" style="20"/>
    <col min="14593" max="14593" width="27.44140625" style="20" bestFit="1" customWidth="1"/>
    <col min="14594" max="14594" width="15.5546875" style="20" bestFit="1" customWidth="1"/>
    <col min="14595" max="14595" width="21.5546875" style="20" bestFit="1" customWidth="1"/>
    <col min="14596" max="14596" width="10.44140625" style="20" customWidth="1"/>
    <col min="14597" max="14597" width="11.44140625" style="20" customWidth="1"/>
    <col min="14598" max="14598" width="12.33203125" style="20" customWidth="1"/>
    <col min="14599" max="14599" width="26.44140625" style="20" customWidth="1"/>
    <col min="14600" max="14600" width="12.5546875" style="20" bestFit="1" customWidth="1"/>
    <col min="14601" max="14848" width="9.33203125" style="20"/>
    <col min="14849" max="14849" width="27.44140625" style="20" bestFit="1" customWidth="1"/>
    <col min="14850" max="14850" width="15.5546875" style="20" bestFit="1" customWidth="1"/>
    <col min="14851" max="14851" width="21.5546875" style="20" bestFit="1" customWidth="1"/>
    <col min="14852" max="14852" width="10.44140625" style="20" customWidth="1"/>
    <col min="14853" max="14853" width="11.44140625" style="20" customWidth="1"/>
    <col min="14854" max="14854" width="12.33203125" style="20" customWidth="1"/>
    <col min="14855" max="14855" width="26.44140625" style="20" customWidth="1"/>
    <col min="14856" max="14856" width="12.5546875" style="20" bestFit="1" customWidth="1"/>
    <col min="14857" max="15104" width="9.33203125" style="20"/>
    <col min="15105" max="15105" width="27.44140625" style="20" bestFit="1" customWidth="1"/>
    <col min="15106" max="15106" width="15.5546875" style="20" bestFit="1" customWidth="1"/>
    <col min="15107" max="15107" width="21.5546875" style="20" bestFit="1" customWidth="1"/>
    <col min="15108" max="15108" width="10.44140625" style="20" customWidth="1"/>
    <col min="15109" max="15109" width="11.44140625" style="20" customWidth="1"/>
    <col min="15110" max="15110" width="12.33203125" style="20" customWidth="1"/>
    <col min="15111" max="15111" width="26.44140625" style="20" customWidth="1"/>
    <col min="15112" max="15112" width="12.5546875" style="20" bestFit="1" customWidth="1"/>
    <col min="15113" max="15360" width="9.33203125" style="20"/>
    <col min="15361" max="15361" width="27.44140625" style="20" bestFit="1" customWidth="1"/>
    <col min="15362" max="15362" width="15.5546875" style="20" bestFit="1" customWidth="1"/>
    <col min="15363" max="15363" width="21.5546875" style="20" bestFit="1" customWidth="1"/>
    <col min="15364" max="15364" width="10.44140625" style="20" customWidth="1"/>
    <col min="15365" max="15365" width="11.44140625" style="20" customWidth="1"/>
    <col min="15366" max="15366" width="12.33203125" style="20" customWidth="1"/>
    <col min="15367" max="15367" width="26.44140625" style="20" customWidth="1"/>
    <col min="15368" max="15368" width="12.5546875" style="20" bestFit="1" customWidth="1"/>
    <col min="15369" max="15616" width="9.33203125" style="20"/>
    <col min="15617" max="15617" width="27.44140625" style="20" bestFit="1" customWidth="1"/>
    <col min="15618" max="15618" width="15.5546875" style="20" bestFit="1" customWidth="1"/>
    <col min="15619" max="15619" width="21.5546875" style="20" bestFit="1" customWidth="1"/>
    <col min="15620" max="15620" width="10.44140625" style="20" customWidth="1"/>
    <col min="15621" max="15621" width="11.44140625" style="20" customWidth="1"/>
    <col min="15622" max="15622" width="12.33203125" style="20" customWidth="1"/>
    <col min="15623" max="15623" width="26.44140625" style="20" customWidth="1"/>
    <col min="15624" max="15624" width="12.5546875" style="20" bestFit="1" customWidth="1"/>
    <col min="15625" max="15872" width="9.33203125" style="20"/>
    <col min="15873" max="15873" width="27.44140625" style="20" bestFit="1" customWidth="1"/>
    <col min="15874" max="15874" width="15.5546875" style="20" bestFit="1" customWidth="1"/>
    <col min="15875" max="15875" width="21.5546875" style="20" bestFit="1" customWidth="1"/>
    <col min="15876" max="15876" width="10.44140625" style="20" customWidth="1"/>
    <col min="15877" max="15877" width="11.44140625" style="20" customWidth="1"/>
    <col min="15878" max="15878" width="12.33203125" style="20" customWidth="1"/>
    <col min="15879" max="15879" width="26.44140625" style="20" customWidth="1"/>
    <col min="15880" max="15880" width="12.5546875" style="20" bestFit="1" customWidth="1"/>
    <col min="15881" max="16128" width="9.33203125" style="20"/>
    <col min="16129" max="16129" width="27.44140625" style="20" bestFit="1" customWidth="1"/>
    <col min="16130" max="16130" width="15.5546875" style="20" bestFit="1" customWidth="1"/>
    <col min="16131" max="16131" width="21.5546875" style="20" bestFit="1" customWidth="1"/>
    <col min="16132" max="16132" width="10.44140625" style="20" customWidth="1"/>
    <col min="16133" max="16133" width="11.44140625" style="20" customWidth="1"/>
    <col min="16134" max="16134" width="12.33203125" style="20" customWidth="1"/>
    <col min="16135" max="16135" width="26.44140625" style="20" customWidth="1"/>
    <col min="16136" max="16136" width="12.5546875" style="20" bestFit="1" customWidth="1"/>
    <col min="16137" max="16384" width="9.33203125" style="20"/>
  </cols>
  <sheetData>
    <row r="1" spans="1:8" s="9" customFormat="1" ht="33.6" customHeight="1" thickBot="1" x14ac:dyDescent="0.3">
      <c r="A1" s="970" t="s">
        <v>595</v>
      </c>
      <c r="B1" s="971"/>
      <c r="C1" s="971"/>
      <c r="D1" s="971"/>
      <c r="E1" s="971"/>
      <c r="F1" s="971"/>
      <c r="G1" s="972"/>
    </row>
    <row r="2" spans="1:8" s="15" customFormat="1" ht="41.4" x14ac:dyDescent="0.25">
      <c r="A2" s="10" t="s">
        <v>596</v>
      </c>
      <c r="B2" s="11" t="s">
        <v>597</v>
      </c>
      <c r="C2" s="11" t="s">
        <v>598</v>
      </c>
      <c r="D2" s="12" t="s">
        <v>754</v>
      </c>
      <c r="E2" s="13" t="s">
        <v>634</v>
      </c>
      <c r="F2" s="11" t="s">
        <v>599</v>
      </c>
      <c r="G2" s="14" t="s">
        <v>600</v>
      </c>
    </row>
    <row r="3" spans="1:8" x14ac:dyDescent="0.25">
      <c r="A3" s="16"/>
      <c r="B3" s="17"/>
      <c r="C3" s="17"/>
      <c r="D3" s="18"/>
      <c r="E3" s="18"/>
      <c r="F3" s="18"/>
      <c r="G3" s="19"/>
    </row>
    <row r="4" spans="1:8" x14ac:dyDescent="0.25">
      <c r="A4" s="21" t="s">
        <v>601</v>
      </c>
      <c r="B4" s="22"/>
      <c r="C4" s="22"/>
      <c r="D4" s="18"/>
      <c r="E4" s="18"/>
      <c r="F4" s="18"/>
      <c r="G4" s="23"/>
    </row>
    <row r="5" spans="1:8" x14ac:dyDescent="0.25">
      <c r="A5" s="21"/>
      <c r="B5" s="22"/>
      <c r="C5" s="22"/>
      <c r="D5" s="18"/>
      <c r="E5" s="18"/>
      <c r="F5" s="18"/>
      <c r="G5" s="23"/>
    </row>
    <row r="6" spans="1:8" ht="27.6" x14ac:dyDescent="0.25">
      <c r="A6" s="16" t="s">
        <v>602</v>
      </c>
      <c r="B6" s="24" t="s">
        <v>603</v>
      </c>
      <c r="C6" s="24" t="s">
        <v>604</v>
      </c>
      <c r="D6" s="18" t="e">
        <f>SUM(BS!D15+BS!#REF!+BS!#REF!+BS!D11+BS!D9)/(BS!D29+BS!D25)</f>
        <v>#REF!</v>
      </c>
      <c r="E6" s="18" t="e">
        <f>SUM(BS!E15+BS!#REF!+BS!#REF!+BS!E11+BS!E9)/(BS!#REF!+BS!E25)</f>
        <v>#REF!</v>
      </c>
      <c r="F6" s="25" t="e">
        <f>(D6-E6)/E6</f>
        <v>#REF!</v>
      </c>
      <c r="G6" s="23"/>
      <c r="H6" s="26"/>
    </row>
    <row r="7" spans="1:8" x14ac:dyDescent="0.25">
      <c r="A7" s="16"/>
      <c r="C7" s="27"/>
      <c r="D7" s="18"/>
      <c r="E7" s="18"/>
      <c r="F7" s="25"/>
      <c r="G7" s="23"/>
    </row>
    <row r="8" spans="1:8" x14ac:dyDescent="0.25">
      <c r="A8" s="21" t="s">
        <v>605</v>
      </c>
      <c r="B8" s="28"/>
      <c r="C8" s="29"/>
      <c r="D8" s="18"/>
      <c r="E8" s="18"/>
      <c r="F8" s="25"/>
      <c r="G8" s="23"/>
    </row>
    <row r="9" spans="1:8" x14ac:dyDescent="0.25">
      <c r="A9" s="21"/>
      <c r="B9" s="29"/>
      <c r="C9" s="29"/>
      <c r="D9" s="18"/>
      <c r="E9" s="18"/>
      <c r="F9" s="25"/>
      <c r="G9" s="23"/>
    </row>
    <row r="10" spans="1:8" ht="27.6" x14ac:dyDescent="0.25">
      <c r="A10" s="16" t="s">
        <v>606</v>
      </c>
      <c r="B10" s="30" t="s">
        <v>604</v>
      </c>
      <c r="C10" s="27" t="s">
        <v>607</v>
      </c>
      <c r="D10" s="18">
        <f>(BS!D24+BS!D29+BS!D25)/(BS!D31+BS!D32)</f>
        <v>232.60835289247868</v>
      </c>
      <c r="E10" s="18" t="e">
        <f>(BS!E24+BS!#REF!+BS!E25)/(BS!E31+BS!E32)</f>
        <v>#REF!</v>
      </c>
      <c r="F10" s="25" t="e">
        <f>(D10-E10)/E10</f>
        <v>#REF!</v>
      </c>
      <c r="G10" s="31"/>
    </row>
    <row r="11" spans="1:8" x14ac:dyDescent="0.25">
      <c r="A11" s="16" t="s">
        <v>608</v>
      </c>
      <c r="B11" s="27"/>
      <c r="C11" s="27"/>
      <c r="D11" s="18">
        <v>0</v>
      </c>
      <c r="E11" s="18">
        <v>0</v>
      </c>
      <c r="F11" s="18">
        <v>0</v>
      </c>
      <c r="G11" s="23" t="s">
        <v>609</v>
      </c>
    </row>
    <row r="12" spans="1:8" x14ac:dyDescent="0.25">
      <c r="A12" s="16"/>
      <c r="C12" s="27"/>
      <c r="D12" s="18"/>
      <c r="E12" s="18"/>
      <c r="F12" s="25"/>
      <c r="G12" s="23"/>
    </row>
    <row r="13" spans="1:8" x14ac:dyDescent="0.25">
      <c r="A13" s="21" t="s">
        <v>610</v>
      </c>
      <c r="B13" s="22"/>
      <c r="C13" s="22"/>
      <c r="D13" s="18"/>
      <c r="E13" s="18"/>
      <c r="F13" s="25"/>
      <c r="G13" s="23"/>
    </row>
    <row r="14" spans="1:8" x14ac:dyDescent="0.25">
      <c r="A14" s="16"/>
      <c r="B14" s="17"/>
      <c r="C14" s="17"/>
      <c r="D14" s="18"/>
      <c r="E14" s="18"/>
      <c r="F14" s="25"/>
      <c r="G14" s="23"/>
    </row>
    <row r="15" spans="1:8" x14ac:dyDescent="0.25">
      <c r="A15" s="16" t="s">
        <v>611</v>
      </c>
      <c r="B15" s="17"/>
      <c r="C15" s="17"/>
      <c r="D15" s="18">
        <v>0</v>
      </c>
      <c r="E15" s="18">
        <v>0</v>
      </c>
      <c r="F15" s="18">
        <v>0</v>
      </c>
      <c r="G15" s="23"/>
    </row>
    <row r="16" spans="1:8" x14ac:dyDescent="0.25">
      <c r="A16" s="16" t="s">
        <v>612</v>
      </c>
      <c r="B16" s="17" t="s">
        <v>351</v>
      </c>
      <c r="C16" s="17" t="s">
        <v>613</v>
      </c>
      <c r="D16" s="18">
        <v>0</v>
      </c>
      <c r="E16" s="18">
        <v>0</v>
      </c>
      <c r="F16" s="25">
        <v>0</v>
      </c>
      <c r="G16" s="31"/>
    </row>
    <row r="17" spans="1:7" x14ac:dyDescent="0.25">
      <c r="A17" s="16" t="s">
        <v>614</v>
      </c>
      <c r="B17" s="17" t="s">
        <v>615</v>
      </c>
      <c r="C17" s="17" t="s">
        <v>613</v>
      </c>
      <c r="D17" s="18">
        <v>0</v>
      </c>
      <c r="E17" s="18">
        <v>0</v>
      </c>
      <c r="F17" s="25">
        <v>0</v>
      </c>
      <c r="G17" s="23"/>
    </row>
    <row r="18" spans="1:7" x14ac:dyDescent="0.25">
      <c r="A18" s="16" t="s">
        <v>616</v>
      </c>
      <c r="B18" s="17" t="s">
        <v>607</v>
      </c>
      <c r="C18" s="17" t="s">
        <v>613</v>
      </c>
      <c r="D18" s="18">
        <f>+(BS!D31+BS!D32)/PorL!D11</f>
        <v>2.139990730452021E-2</v>
      </c>
      <c r="E18" s="18">
        <f>+(BS!E31+BS!E32)/PorL!E11</f>
        <v>1.2047632944924695E-2</v>
      </c>
      <c r="F18" s="25">
        <f>(D18-E18)/E18</f>
        <v>0.77627484190040397</v>
      </c>
      <c r="G18" s="23"/>
    </row>
    <row r="19" spans="1:7" x14ac:dyDescent="0.25">
      <c r="A19" s="16"/>
      <c r="B19" s="17"/>
      <c r="C19" s="17"/>
      <c r="D19" s="18"/>
      <c r="E19" s="18"/>
      <c r="F19" s="25"/>
      <c r="G19" s="23"/>
    </row>
    <row r="20" spans="1:7" x14ac:dyDescent="0.25">
      <c r="A20" s="21" t="s">
        <v>617</v>
      </c>
      <c r="B20" s="22"/>
      <c r="C20" s="22"/>
      <c r="D20" s="18"/>
      <c r="E20" s="18"/>
      <c r="F20" s="25"/>
      <c r="G20" s="23"/>
    </row>
    <row r="21" spans="1:7" x14ac:dyDescent="0.25">
      <c r="A21" s="16"/>
      <c r="B21" s="17"/>
      <c r="C21" s="17"/>
      <c r="D21" s="18"/>
      <c r="E21" s="18"/>
      <c r="F21" s="25"/>
      <c r="G21" s="23"/>
    </row>
    <row r="22" spans="1:7" x14ac:dyDescent="0.25">
      <c r="A22" s="16" t="s">
        <v>618</v>
      </c>
      <c r="B22" s="17" t="s">
        <v>619</v>
      </c>
      <c r="C22" s="17" t="s">
        <v>613</v>
      </c>
      <c r="D22" s="18">
        <f>+PorL!D22/PorL!D11</f>
        <v>3.0878249259776277E-2</v>
      </c>
      <c r="E22" s="18">
        <f>+PorL!E22/PorL!E11</f>
        <v>0.45823831252775704</v>
      </c>
      <c r="F22" s="25">
        <f>(D22-E22)/E22</f>
        <v>-0.9326153042737868</v>
      </c>
      <c r="G22" s="23"/>
    </row>
    <row r="23" spans="1:7" x14ac:dyDescent="0.25">
      <c r="A23" s="16" t="s">
        <v>620</v>
      </c>
      <c r="B23" s="17" t="s">
        <v>621</v>
      </c>
      <c r="C23" s="17" t="s">
        <v>607</v>
      </c>
      <c r="D23" s="38">
        <f>+PorL!D42/(BS!D31+BS!D32)</f>
        <v>1.3403231565642606</v>
      </c>
      <c r="E23" s="18">
        <f>+PorL!E42/(BS!E31+BS!E32)</f>
        <v>29.369202689895374</v>
      </c>
      <c r="F23" s="25">
        <f>(D23-E23)/E23</f>
        <v>-0.95436297094216305</v>
      </c>
      <c r="G23" s="23"/>
    </row>
    <row r="24" spans="1:7" x14ac:dyDescent="0.25">
      <c r="A24" s="16" t="s">
        <v>622</v>
      </c>
      <c r="B24" s="17" t="s">
        <v>619</v>
      </c>
      <c r="C24" s="17" t="s">
        <v>607</v>
      </c>
      <c r="D24" s="39">
        <f>+PorL!D24/+(BS!D31+BS!D32)</f>
        <v>1.4429150939945425</v>
      </c>
      <c r="E24" s="18">
        <f>+PorL!E24/+(BS!E31+BS!E32)</f>
        <v>38.03554728323617</v>
      </c>
      <c r="F24" s="25">
        <f>(D24-E24)/E24</f>
        <v>-0.96206403753705172</v>
      </c>
      <c r="G24" s="23"/>
    </row>
    <row r="25" spans="1:7" ht="13.8" thickBot="1" x14ac:dyDescent="0.3">
      <c r="A25" s="32" t="s">
        <v>623</v>
      </c>
      <c r="B25" s="33" t="s">
        <v>621</v>
      </c>
      <c r="C25" s="33" t="s">
        <v>509</v>
      </c>
      <c r="D25" s="40" t="e">
        <f>+PorL!D42/BS!D31</f>
        <v>#DIV/0!</v>
      </c>
      <c r="E25" s="34" t="e">
        <f>+PorL!E42/BS!E31</f>
        <v>#DIV/0!</v>
      </c>
      <c r="F25" s="35" t="e">
        <f>(D25-E25)/E25</f>
        <v>#DIV/0!</v>
      </c>
      <c r="G25" s="36"/>
    </row>
    <row r="26" spans="1:7" ht="13.8" thickBot="1" x14ac:dyDescent="0.3">
      <c r="A26" s="32"/>
      <c r="B26" s="33"/>
      <c r="C26" s="33"/>
      <c r="D26" s="34"/>
      <c r="E26" s="34"/>
      <c r="F26" s="34"/>
      <c r="G26" s="36"/>
    </row>
    <row r="27" spans="1:7" x14ac:dyDescent="0.25">
      <c r="A27" s="973" t="s">
        <v>624</v>
      </c>
      <c r="B27" s="973"/>
      <c r="C27" s="973"/>
      <c r="D27" s="973"/>
      <c r="E27" s="973"/>
      <c r="F27" s="973"/>
      <c r="G27" s="973"/>
    </row>
  </sheetData>
  <mergeCells count="2">
    <mergeCell ref="A1:G1"/>
    <mergeCell ref="A27:G2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K18"/>
  <sheetViews>
    <sheetView topLeftCell="D1" workbookViewId="0">
      <selection activeCell="K6" sqref="K6"/>
    </sheetView>
  </sheetViews>
  <sheetFormatPr defaultColWidth="9.33203125" defaultRowHeight="14.4" x14ac:dyDescent="0.3"/>
  <cols>
    <col min="5" max="5" width="44.6640625" customWidth="1"/>
    <col min="6" max="6" width="22" style="42" bestFit="1" customWidth="1"/>
    <col min="7" max="7" width="18" style="42" bestFit="1" customWidth="1"/>
    <col min="8" max="8" width="9.33203125" style="42"/>
    <col min="11" max="11" width="23.33203125" bestFit="1" customWidth="1"/>
  </cols>
  <sheetData>
    <row r="3" spans="4:11" x14ac:dyDescent="0.3">
      <c r="D3">
        <v>1</v>
      </c>
      <c r="E3" s="54" t="s">
        <v>767</v>
      </c>
      <c r="F3" s="55"/>
      <c r="G3" s="55"/>
    </row>
    <row r="4" spans="4:11" x14ac:dyDescent="0.3">
      <c r="E4" s="56"/>
      <c r="F4" s="57"/>
      <c r="G4" s="57"/>
    </row>
    <row r="5" spans="4:11" x14ac:dyDescent="0.3">
      <c r="E5" s="56" t="s">
        <v>758</v>
      </c>
      <c r="F5" s="57"/>
      <c r="G5" s="57">
        <f>'bs Notes'!M175</f>
        <v>220578</v>
      </c>
    </row>
    <row r="6" spans="4:11" x14ac:dyDescent="0.3">
      <c r="E6" s="56" t="s">
        <v>794</v>
      </c>
      <c r="F6" s="57">
        <f>'bs Notes'!L43</f>
        <v>283529968.20000005</v>
      </c>
      <c r="G6" s="57"/>
      <c r="J6" t="s">
        <v>850</v>
      </c>
      <c r="K6" s="58">
        <v>2328855</v>
      </c>
    </row>
    <row r="7" spans="4:11" x14ac:dyDescent="0.3">
      <c r="E7" s="56"/>
      <c r="F7" s="57"/>
      <c r="G7" s="57"/>
      <c r="K7" s="43">
        <f>F6-K6</f>
        <v>281201113.20000005</v>
      </c>
    </row>
    <row r="8" spans="4:11" x14ac:dyDescent="0.3">
      <c r="E8" s="56" t="s">
        <v>760</v>
      </c>
      <c r="F8" s="59">
        <v>2.5000000000000001E-3</v>
      </c>
      <c r="G8" s="57">
        <f>K7*F8</f>
        <v>703002.78300000017</v>
      </c>
    </row>
    <row r="9" spans="4:11" x14ac:dyDescent="0.3">
      <c r="E9" s="56" t="s">
        <v>792</v>
      </c>
      <c r="F9" s="64">
        <v>0.1</v>
      </c>
      <c r="G9" s="65">
        <f>K6*F9</f>
        <v>232885.5</v>
      </c>
      <c r="H9" s="63"/>
    </row>
    <row r="10" spans="4:11" x14ac:dyDescent="0.3">
      <c r="E10" s="56" t="s">
        <v>887</v>
      </c>
      <c r="F10" s="57"/>
      <c r="G10" s="57">
        <f>+G8+G9</f>
        <v>935888.28300000017</v>
      </c>
    </row>
    <row r="11" spans="4:11" x14ac:dyDescent="0.3">
      <c r="E11" s="56" t="s">
        <v>793</v>
      </c>
      <c r="F11" s="57"/>
      <c r="G11" s="57">
        <f>+G10-G5</f>
        <v>715310.28300000017</v>
      </c>
    </row>
    <row r="12" spans="4:11" x14ac:dyDescent="0.3">
      <c r="E12" s="56"/>
      <c r="F12" s="57"/>
      <c r="G12" s="57"/>
    </row>
    <row r="13" spans="4:11" x14ac:dyDescent="0.3">
      <c r="D13">
        <v>2</v>
      </c>
      <c r="E13" s="60" t="s">
        <v>768</v>
      </c>
      <c r="F13" s="61"/>
      <c r="G13" s="61"/>
    </row>
    <row r="14" spans="4:11" x14ac:dyDescent="0.3">
      <c r="E14" s="60" t="s">
        <v>769</v>
      </c>
      <c r="F14" s="61">
        <f>+PorL!D24</f>
        <v>1350407.3298333362</v>
      </c>
      <c r="G14" s="61"/>
    </row>
    <row r="15" spans="4:11" x14ac:dyDescent="0.3">
      <c r="E15" s="60" t="s">
        <v>770</v>
      </c>
      <c r="F15" s="61">
        <v>0.22</v>
      </c>
      <c r="G15" s="61"/>
    </row>
    <row r="16" spans="4:11" x14ac:dyDescent="0.3">
      <c r="E16" s="60" t="s">
        <v>770</v>
      </c>
      <c r="F16" s="61">
        <f>+F14*F15</f>
        <v>297089.61256333394</v>
      </c>
      <c r="G16" s="61"/>
    </row>
    <row r="17" spans="4:7" x14ac:dyDescent="0.3">
      <c r="E17" s="60"/>
      <c r="F17" s="61"/>
      <c r="G17" s="61"/>
    </row>
    <row r="18" spans="4:7" x14ac:dyDescent="0.3">
      <c r="D18">
        <v>3</v>
      </c>
      <c r="E18" t="s">
        <v>889</v>
      </c>
      <c r="F18" s="42">
        <v>100000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7"/>
  <sheetViews>
    <sheetView topLeftCell="A150" zoomScaleNormal="100" workbookViewId="0">
      <selection activeCell="G183" sqref="G183"/>
    </sheetView>
  </sheetViews>
  <sheetFormatPr defaultColWidth="8.6640625" defaultRowHeight="14.4" x14ac:dyDescent="0.3"/>
  <cols>
    <col min="1" max="1" width="63.5546875" style="688" customWidth="1"/>
    <col min="2" max="2" width="18.6640625" style="52" customWidth="1"/>
    <col min="3" max="3" width="17.5546875" style="52" bestFit="1" customWidth="1"/>
    <col min="4" max="4" width="8.6640625" style="688"/>
    <col min="5" max="5" width="9.88671875" style="688" bestFit="1" customWidth="1"/>
    <col min="6" max="16384" width="8.6640625" style="688"/>
  </cols>
  <sheetData>
    <row r="1" spans="1:3" x14ac:dyDescent="0.3">
      <c r="A1" s="977" t="s">
        <v>864</v>
      </c>
      <c r="B1" s="978"/>
      <c r="C1" s="979"/>
    </row>
    <row r="2" spans="1:3" x14ac:dyDescent="0.3">
      <c r="A2" s="980" t="s">
        <v>490</v>
      </c>
      <c r="B2" s="981"/>
      <c r="C2" s="982"/>
    </row>
    <row r="3" spans="1:3" x14ac:dyDescent="0.3">
      <c r="A3" s="980" t="s">
        <v>491</v>
      </c>
      <c r="B3" s="981"/>
      <c r="C3" s="982"/>
    </row>
    <row r="4" spans="1:3" x14ac:dyDescent="0.3">
      <c r="A4" s="980" t="s">
        <v>492</v>
      </c>
      <c r="B4" s="981"/>
      <c r="C4" s="982"/>
    </row>
    <row r="5" spans="1:3" x14ac:dyDescent="0.3">
      <c r="A5" s="983" t="s">
        <v>493</v>
      </c>
      <c r="B5" s="984"/>
      <c r="C5" s="985"/>
    </row>
    <row r="6" spans="1:3" ht="15" thickBot="1" x14ac:dyDescent="0.35">
      <c r="A6" s="974" t="s">
        <v>494</v>
      </c>
      <c r="B6" s="975"/>
      <c r="C6" s="976"/>
    </row>
    <row r="7" spans="1:3" x14ac:dyDescent="0.3">
      <c r="A7" s="986" t="s">
        <v>495</v>
      </c>
      <c r="B7" s="987"/>
      <c r="C7" s="988"/>
    </row>
    <row r="8" spans="1:3" ht="15" thickBot="1" x14ac:dyDescent="0.35">
      <c r="A8" s="989"/>
      <c r="B8" s="990"/>
      <c r="C8" s="991"/>
    </row>
    <row r="9" spans="1:3" x14ac:dyDescent="0.3">
      <c r="A9" s="689" t="s">
        <v>496</v>
      </c>
      <c r="B9" s="996" t="s">
        <v>497</v>
      </c>
      <c r="C9" s="997"/>
    </row>
    <row r="10" spans="1:3" x14ac:dyDescent="0.3">
      <c r="A10" s="690" t="s">
        <v>0</v>
      </c>
      <c r="B10" s="992" t="s">
        <v>863</v>
      </c>
      <c r="C10" s="993"/>
    </row>
    <row r="11" spans="1:3" ht="15" thickBot="1" x14ac:dyDescent="0.35">
      <c r="A11" s="691" t="s">
        <v>496</v>
      </c>
      <c r="B11" s="994" t="s">
        <v>216</v>
      </c>
      <c r="C11" s="995"/>
    </row>
    <row r="12" spans="1:3" ht="15" thickBot="1" x14ac:dyDescent="0.35">
      <c r="A12" s="692" t="s">
        <v>496</v>
      </c>
      <c r="B12" s="49" t="s">
        <v>498</v>
      </c>
      <c r="C12" s="49" t="s">
        <v>499</v>
      </c>
    </row>
    <row r="13" spans="1:3" x14ac:dyDescent="0.3">
      <c r="A13" s="693" t="s">
        <v>500</v>
      </c>
      <c r="B13" s="50"/>
      <c r="C13" s="50"/>
    </row>
    <row r="14" spans="1:3" s="694" customFormat="1" ht="14.25" customHeight="1" x14ac:dyDescent="0.3">
      <c r="A14" s="262" t="s">
        <v>821</v>
      </c>
      <c r="B14" s="51"/>
      <c r="C14" s="48">
        <v>1481251.63</v>
      </c>
    </row>
    <row r="15" spans="1:3" s="694" customFormat="1" ht="14.25" customHeight="1" x14ac:dyDescent="0.3">
      <c r="A15" s="262" t="s">
        <v>822</v>
      </c>
      <c r="B15" s="51"/>
      <c r="C15" s="48">
        <v>206175</v>
      </c>
    </row>
    <row r="16" spans="1:3" x14ac:dyDescent="0.3">
      <c r="A16" s="262" t="s">
        <v>576</v>
      </c>
      <c r="C16" s="44">
        <v>671.71</v>
      </c>
    </row>
    <row r="17" spans="1:3" x14ac:dyDescent="0.3">
      <c r="A17" s="262" t="s">
        <v>810</v>
      </c>
      <c r="C17" s="44"/>
    </row>
    <row r="18" spans="1:3" x14ac:dyDescent="0.3">
      <c r="A18" s="262" t="s">
        <v>774</v>
      </c>
      <c r="C18" s="44">
        <v>114450</v>
      </c>
    </row>
    <row r="19" spans="1:3" x14ac:dyDescent="0.3">
      <c r="A19" s="262" t="s">
        <v>857</v>
      </c>
      <c r="C19" s="44">
        <f>569646+61815+20838+212548+795</f>
        <v>865642</v>
      </c>
    </row>
    <row r="20" spans="1:3" x14ac:dyDescent="0.3">
      <c r="A20" s="262" t="s">
        <v>814</v>
      </c>
      <c r="C20" s="44">
        <v>3645550</v>
      </c>
    </row>
    <row r="21" spans="1:3" x14ac:dyDescent="0.3">
      <c r="A21" s="262" t="s">
        <v>805</v>
      </c>
      <c r="C21" s="44">
        <v>0</v>
      </c>
    </row>
    <row r="22" spans="1:3" x14ac:dyDescent="0.3">
      <c r="A22" s="262" t="s">
        <v>577</v>
      </c>
      <c r="C22" s="44">
        <v>2873780</v>
      </c>
    </row>
    <row r="23" spans="1:3" x14ac:dyDescent="0.3">
      <c r="A23" s="262" t="s">
        <v>416</v>
      </c>
      <c r="C23" s="44">
        <v>61890</v>
      </c>
    </row>
    <row r="24" spans="1:3" x14ac:dyDescent="0.3">
      <c r="A24" s="262" t="s">
        <v>835</v>
      </c>
      <c r="C24" s="44">
        <v>6459901.4199999999</v>
      </c>
    </row>
    <row r="25" spans="1:3" x14ac:dyDescent="0.3">
      <c r="A25" s="695" t="s">
        <v>724</v>
      </c>
      <c r="B25" s="44"/>
      <c r="C25" s="44"/>
    </row>
    <row r="26" spans="1:3" x14ac:dyDescent="0.3">
      <c r="A26" s="262" t="s">
        <v>801</v>
      </c>
      <c r="B26" s="46"/>
      <c r="C26" s="44">
        <v>4134254</v>
      </c>
    </row>
    <row r="27" spans="1:3" x14ac:dyDescent="0.3">
      <c r="A27" s="262" t="s">
        <v>802</v>
      </c>
      <c r="B27" s="46"/>
      <c r="C27" s="44">
        <v>462273</v>
      </c>
    </row>
    <row r="28" spans="1:3" x14ac:dyDescent="0.3">
      <c r="A28" s="262" t="s">
        <v>775</v>
      </c>
      <c r="C28" s="44">
        <v>1491915</v>
      </c>
    </row>
    <row r="29" spans="1:3" x14ac:dyDescent="0.3">
      <c r="A29" s="262" t="s">
        <v>776</v>
      </c>
      <c r="C29" s="44">
        <v>15285</v>
      </c>
    </row>
    <row r="30" spans="1:3" x14ac:dyDescent="0.3">
      <c r="A30" s="262" t="s">
        <v>853</v>
      </c>
      <c r="C30" s="44">
        <v>513698</v>
      </c>
    </row>
    <row r="31" spans="1:3" x14ac:dyDescent="0.3">
      <c r="A31" s="262" t="s">
        <v>572</v>
      </c>
      <c r="C31" s="44">
        <v>14663312.24</v>
      </c>
    </row>
    <row r="32" spans="1:3" x14ac:dyDescent="0.3">
      <c r="A32" s="262" t="s">
        <v>777</v>
      </c>
      <c r="C32" s="44">
        <v>716971</v>
      </c>
    </row>
    <row r="33" spans="1:3" x14ac:dyDescent="0.3">
      <c r="A33" s="262" t="s">
        <v>725</v>
      </c>
      <c r="C33" s="44">
        <v>8050266</v>
      </c>
    </row>
    <row r="34" spans="1:3" x14ac:dyDescent="0.3">
      <c r="A34" s="262" t="s">
        <v>778</v>
      </c>
      <c r="C34" s="44">
        <v>114499</v>
      </c>
    </row>
    <row r="35" spans="1:3" x14ac:dyDescent="0.3">
      <c r="A35" s="262" t="s">
        <v>854</v>
      </c>
      <c r="C35" s="44">
        <v>281574</v>
      </c>
    </row>
    <row r="36" spans="1:3" x14ac:dyDescent="0.3">
      <c r="A36" s="262" t="s">
        <v>855</v>
      </c>
      <c r="C36" s="44">
        <v>4154950.9</v>
      </c>
    </row>
    <row r="37" spans="1:3" x14ac:dyDescent="0.3">
      <c r="A37" s="695" t="s">
        <v>718</v>
      </c>
      <c r="B37" s="44"/>
      <c r="C37" s="44"/>
    </row>
    <row r="38" spans="1:3" x14ac:dyDescent="0.3">
      <c r="A38" s="262" t="s">
        <v>502</v>
      </c>
      <c r="B38" s="44">
        <v>3652894.61</v>
      </c>
      <c r="C38" s="44"/>
    </row>
    <row r="39" spans="1:3" x14ac:dyDescent="0.3">
      <c r="A39" s="262" t="s">
        <v>717</v>
      </c>
      <c r="B39" s="44">
        <v>308805</v>
      </c>
      <c r="C39" s="44"/>
    </row>
    <row r="40" spans="1:3" x14ac:dyDescent="0.3">
      <c r="A40" s="262" t="s">
        <v>719</v>
      </c>
      <c r="B40" s="44">
        <v>289050</v>
      </c>
      <c r="C40" s="44"/>
    </row>
    <row r="41" spans="1:3" x14ac:dyDescent="0.3">
      <c r="A41" s="262" t="s">
        <v>799</v>
      </c>
      <c r="B41" s="44">
        <v>483623</v>
      </c>
      <c r="C41" s="44"/>
    </row>
    <row r="42" spans="1:3" x14ac:dyDescent="0.3">
      <c r="A42" s="262" t="s">
        <v>720</v>
      </c>
      <c r="B42" s="44">
        <v>307650</v>
      </c>
      <c r="C42" s="44"/>
    </row>
    <row r="43" spans="1:3" x14ac:dyDescent="0.3">
      <c r="A43" s="262" t="s">
        <v>800</v>
      </c>
      <c r="B43" s="44">
        <v>122548</v>
      </c>
      <c r="C43" s="44"/>
    </row>
    <row r="44" spans="1:3" x14ac:dyDescent="0.3">
      <c r="A44" s="262" t="s">
        <v>798</v>
      </c>
      <c r="B44" s="44">
        <v>1000000</v>
      </c>
      <c r="C44" s="44"/>
    </row>
    <row r="45" spans="1:3" x14ac:dyDescent="0.3">
      <c r="A45" s="262" t="s">
        <v>721</v>
      </c>
      <c r="B45" s="44">
        <v>16313180</v>
      </c>
      <c r="C45" s="44"/>
    </row>
    <row r="46" spans="1:3" x14ac:dyDescent="0.3">
      <c r="A46" s="262" t="s">
        <v>832</v>
      </c>
      <c r="B46" s="44">
        <v>297706</v>
      </c>
      <c r="C46" s="44"/>
    </row>
    <row r="47" spans="1:3" x14ac:dyDescent="0.3">
      <c r="A47" s="262" t="s">
        <v>833</v>
      </c>
      <c r="B47" s="44">
        <v>113297</v>
      </c>
      <c r="C47" s="44"/>
    </row>
    <row r="48" spans="1:3" x14ac:dyDescent="0.3">
      <c r="A48" s="262" t="s">
        <v>722</v>
      </c>
      <c r="B48" s="44">
        <v>300000</v>
      </c>
      <c r="C48" s="44"/>
    </row>
    <row r="49" spans="1:3" x14ac:dyDescent="0.3">
      <c r="A49" s="262" t="s">
        <v>779</v>
      </c>
      <c r="C49" s="44">
        <v>700</v>
      </c>
    </row>
    <row r="50" spans="1:3" x14ac:dyDescent="0.3">
      <c r="A50" s="262" t="s">
        <v>723</v>
      </c>
      <c r="B50" s="44">
        <v>11310</v>
      </c>
      <c r="C50" s="44"/>
    </row>
    <row r="51" spans="1:3" x14ac:dyDescent="0.3">
      <c r="A51" s="696" t="s">
        <v>501</v>
      </c>
      <c r="B51" s="47"/>
      <c r="C51" s="47"/>
    </row>
    <row r="52" spans="1:3" x14ac:dyDescent="0.3">
      <c r="A52" s="262" t="s">
        <v>503</v>
      </c>
      <c r="B52" s="44">
        <v>1272157.6000000001</v>
      </c>
      <c r="C52" s="44"/>
    </row>
    <row r="53" spans="1:3" x14ac:dyDescent="0.3">
      <c r="A53" s="262" t="s">
        <v>757</v>
      </c>
      <c r="B53" s="44">
        <v>175000</v>
      </c>
      <c r="C53" s="44"/>
    </row>
    <row r="54" spans="1:3" x14ac:dyDescent="0.3">
      <c r="A54" s="262" t="s">
        <v>762</v>
      </c>
      <c r="B54" s="44">
        <f>+'provision '!G11</f>
        <v>715310.28300000017</v>
      </c>
      <c r="C54" s="44"/>
    </row>
    <row r="55" spans="1:3" x14ac:dyDescent="0.3">
      <c r="A55" s="262" t="s">
        <v>941</v>
      </c>
      <c r="B55" s="44">
        <v>298000</v>
      </c>
      <c r="C55" s="44"/>
    </row>
    <row r="56" spans="1:3" x14ac:dyDescent="0.3">
      <c r="A56" s="262" t="s">
        <v>771</v>
      </c>
      <c r="B56" s="44">
        <v>355806</v>
      </c>
      <c r="C56" s="44"/>
    </row>
    <row r="57" spans="1:3" x14ac:dyDescent="0.3">
      <c r="A57" s="262" t="s">
        <v>487</v>
      </c>
      <c r="B57" s="44">
        <f>1928.51-1510.68</f>
        <v>417.82999999999993</v>
      </c>
      <c r="C57" s="44"/>
    </row>
    <row r="58" spans="1:3" x14ac:dyDescent="0.3">
      <c r="A58" s="262" t="s">
        <v>744</v>
      </c>
      <c r="B58" s="44">
        <f>161213+342750+8940582</f>
        <v>9444545</v>
      </c>
      <c r="C58" s="47"/>
    </row>
    <row r="59" spans="1:3" x14ac:dyDescent="0.3">
      <c r="A59" s="262" t="s">
        <v>574</v>
      </c>
      <c r="B59" s="44">
        <v>300671.09999999998</v>
      </c>
      <c r="C59" s="44"/>
    </row>
    <row r="60" spans="1:3" x14ac:dyDescent="0.3">
      <c r="A60" s="262" t="s">
        <v>726</v>
      </c>
      <c r="B60" s="44">
        <v>90036</v>
      </c>
      <c r="C60" s="47"/>
    </row>
    <row r="61" spans="1:3" x14ac:dyDescent="0.3">
      <c r="A61" s="262" t="s">
        <v>727</v>
      </c>
      <c r="B61" s="44">
        <v>1012517.5</v>
      </c>
      <c r="C61" s="47"/>
    </row>
    <row r="62" spans="1:3" x14ac:dyDescent="0.3">
      <c r="A62" s="262" t="s">
        <v>728</v>
      </c>
      <c r="B62" s="44">
        <v>196463.6</v>
      </c>
      <c r="C62" s="47"/>
    </row>
    <row r="63" spans="1:3" x14ac:dyDescent="0.3">
      <c r="A63" s="262" t="s">
        <v>729</v>
      </c>
      <c r="B63" s="44">
        <v>1038712</v>
      </c>
      <c r="C63" s="44"/>
    </row>
    <row r="64" spans="1:3" x14ac:dyDescent="0.3">
      <c r="A64" s="262" t="s">
        <v>804</v>
      </c>
      <c r="B64" s="44">
        <v>15428</v>
      </c>
      <c r="C64" s="44"/>
    </row>
    <row r="65" spans="1:3" x14ac:dyDescent="0.3">
      <c r="A65" s="262" t="s">
        <v>541</v>
      </c>
      <c r="B65" s="44"/>
      <c r="C65" s="44"/>
    </row>
    <row r="66" spans="1:3" x14ac:dyDescent="0.3">
      <c r="A66" s="262" t="s">
        <v>730</v>
      </c>
      <c r="B66" s="44">
        <v>129292.56</v>
      </c>
      <c r="C66" s="44"/>
    </row>
    <row r="67" spans="1:3" x14ac:dyDescent="0.3">
      <c r="A67" s="262" t="s">
        <v>731</v>
      </c>
      <c r="B67" s="44">
        <v>2205</v>
      </c>
      <c r="C67" s="44"/>
    </row>
    <row r="68" spans="1:3" x14ac:dyDescent="0.3">
      <c r="A68" s="262" t="s">
        <v>732</v>
      </c>
      <c r="B68" s="44">
        <v>2140768</v>
      </c>
      <c r="C68" s="44"/>
    </row>
    <row r="69" spans="1:3" x14ac:dyDescent="0.3">
      <c r="A69" s="262" t="s">
        <v>733</v>
      </c>
      <c r="B69" s="44">
        <v>35192</v>
      </c>
      <c r="C69" s="44"/>
    </row>
    <row r="70" spans="1:3" x14ac:dyDescent="0.3">
      <c r="A70" s="262" t="s">
        <v>734</v>
      </c>
      <c r="B70" s="44">
        <v>251382.54</v>
      </c>
      <c r="C70" s="44"/>
    </row>
    <row r="71" spans="1:3" x14ac:dyDescent="0.3">
      <c r="A71" s="262" t="s">
        <v>735</v>
      </c>
      <c r="B71" s="44">
        <v>34753</v>
      </c>
      <c r="C71" s="44"/>
    </row>
    <row r="72" spans="1:3" x14ac:dyDescent="0.3">
      <c r="A72" s="262" t="s">
        <v>482</v>
      </c>
      <c r="B72" s="44">
        <f>427088+6335</f>
        <v>433423</v>
      </c>
      <c r="C72" s="44"/>
    </row>
    <row r="73" spans="1:3" x14ac:dyDescent="0.3">
      <c r="A73" s="262" t="s">
        <v>736</v>
      </c>
      <c r="B73" s="44">
        <v>624190.49</v>
      </c>
      <c r="C73" s="44"/>
    </row>
    <row r="74" spans="1:3" x14ac:dyDescent="0.3">
      <c r="A74" s="262" t="s">
        <v>540</v>
      </c>
      <c r="B74" s="44">
        <v>1650</v>
      </c>
      <c r="C74" s="44"/>
    </row>
    <row r="75" spans="1:3" x14ac:dyDescent="0.3">
      <c r="A75" s="262" t="s">
        <v>483</v>
      </c>
      <c r="B75" s="44">
        <v>11635</v>
      </c>
      <c r="C75" s="44"/>
    </row>
    <row r="76" spans="1:3" x14ac:dyDescent="0.3">
      <c r="A76" s="262" t="s">
        <v>556</v>
      </c>
      <c r="B76" s="44">
        <v>2552769</v>
      </c>
      <c r="C76" s="44"/>
    </row>
    <row r="77" spans="1:3" x14ac:dyDescent="0.3">
      <c r="A77" s="262" t="s">
        <v>737</v>
      </c>
      <c r="B77" s="44">
        <v>479773.64</v>
      </c>
      <c r="C77" s="44"/>
    </row>
    <row r="78" spans="1:3" x14ac:dyDescent="0.3">
      <c r="A78" s="262" t="s">
        <v>738</v>
      </c>
      <c r="B78" s="44">
        <v>3944805</v>
      </c>
      <c r="C78" s="44"/>
    </row>
    <row r="79" spans="1:3" x14ac:dyDescent="0.3">
      <c r="A79" s="262" t="s">
        <v>575</v>
      </c>
      <c r="B79" s="44">
        <v>388981.1</v>
      </c>
      <c r="C79" s="44"/>
    </row>
    <row r="80" spans="1:3" x14ac:dyDescent="0.3">
      <c r="A80" s="262" t="s">
        <v>739</v>
      </c>
      <c r="B80" s="44">
        <v>380717</v>
      </c>
      <c r="C80" s="44"/>
    </row>
    <row r="81" spans="1:3" x14ac:dyDescent="0.3">
      <c r="A81" s="262" t="s">
        <v>740</v>
      </c>
      <c r="B81" s="44">
        <v>204570</v>
      </c>
      <c r="C81" s="44"/>
    </row>
    <row r="82" spans="1:3" x14ac:dyDescent="0.3">
      <c r="A82" s="262" t="s">
        <v>448</v>
      </c>
      <c r="B82" s="44">
        <v>198525.92</v>
      </c>
      <c r="C82" s="44"/>
    </row>
    <row r="83" spans="1:3" x14ac:dyDescent="0.3">
      <c r="A83" s="262" t="s">
        <v>449</v>
      </c>
      <c r="B83" s="44">
        <v>1620320</v>
      </c>
      <c r="C83" s="44"/>
    </row>
    <row r="84" spans="1:3" x14ac:dyDescent="0.3">
      <c r="A84" s="262" t="s">
        <v>504</v>
      </c>
      <c r="B84" s="44">
        <v>227933.3</v>
      </c>
      <c r="C84" s="44"/>
    </row>
    <row r="85" spans="1:3" x14ac:dyDescent="0.3">
      <c r="A85" s="262" t="s">
        <v>773</v>
      </c>
      <c r="B85" s="44">
        <v>20505</v>
      </c>
      <c r="C85" s="44"/>
    </row>
    <row r="86" spans="1:3" x14ac:dyDescent="0.3">
      <c r="A86" s="696" t="s">
        <v>505</v>
      </c>
      <c r="B86" s="47"/>
      <c r="C86" s="47"/>
    </row>
    <row r="87" spans="1:3" x14ac:dyDescent="0.3">
      <c r="A87" s="262" t="s">
        <v>506</v>
      </c>
      <c r="B87" s="44">
        <v>3000080</v>
      </c>
      <c r="C87" s="47"/>
    </row>
    <row r="88" spans="1:3" x14ac:dyDescent="0.3">
      <c r="A88" s="262" t="s">
        <v>302</v>
      </c>
      <c r="B88" s="44"/>
      <c r="C88" s="44">
        <v>567475</v>
      </c>
    </row>
    <row r="89" spans="1:3" x14ac:dyDescent="0.3">
      <c r="A89" s="262" t="s">
        <v>61</v>
      </c>
      <c r="B89" s="44"/>
      <c r="C89" s="44"/>
    </row>
    <row r="90" spans="1:3" x14ac:dyDescent="0.3">
      <c r="A90" s="262" t="s">
        <v>507</v>
      </c>
      <c r="B90" s="44"/>
      <c r="C90" s="44"/>
    </row>
    <row r="91" spans="1:3" x14ac:dyDescent="0.3">
      <c r="A91" s="262" t="s">
        <v>425</v>
      </c>
      <c r="B91" s="44"/>
      <c r="C91" s="44">
        <v>5482521</v>
      </c>
    </row>
    <row r="92" spans="1:3" x14ac:dyDescent="0.3">
      <c r="A92" s="262" t="s">
        <v>157</v>
      </c>
      <c r="B92" s="44"/>
      <c r="C92" s="44">
        <v>4876029</v>
      </c>
    </row>
    <row r="93" spans="1:3" x14ac:dyDescent="0.3">
      <c r="A93" s="262" t="s">
        <v>508</v>
      </c>
      <c r="B93" s="47"/>
      <c r="C93" s="44">
        <v>400</v>
      </c>
    </row>
    <row r="94" spans="1:3" x14ac:dyDescent="0.3">
      <c r="A94" s="262" t="s">
        <v>509</v>
      </c>
      <c r="B94" s="44"/>
      <c r="C94" s="44">
        <f>37501000*2</f>
        <v>75002000</v>
      </c>
    </row>
    <row r="95" spans="1:3" x14ac:dyDescent="0.3">
      <c r="A95" s="696" t="s">
        <v>510</v>
      </c>
      <c r="B95" s="47"/>
      <c r="C95" s="44"/>
    </row>
    <row r="96" spans="1:3" x14ac:dyDescent="0.3">
      <c r="A96" s="262" t="s">
        <v>511</v>
      </c>
      <c r="B96" s="44"/>
      <c r="C96" s="44"/>
    </row>
    <row r="97" spans="1:3" x14ac:dyDescent="0.3">
      <c r="A97" s="262" t="s">
        <v>512</v>
      </c>
      <c r="B97" s="44">
        <v>75662.87</v>
      </c>
      <c r="C97" s="44"/>
    </row>
    <row r="98" spans="1:3" x14ac:dyDescent="0.3">
      <c r="A98" s="262" t="s">
        <v>780</v>
      </c>
      <c r="B98" s="44">
        <v>421</v>
      </c>
      <c r="C98" s="44"/>
    </row>
    <row r="99" spans="1:3" x14ac:dyDescent="0.3">
      <c r="A99" s="262" t="s">
        <v>566</v>
      </c>
      <c r="B99" s="45">
        <v>1253929.26</v>
      </c>
      <c r="C99" s="44"/>
    </row>
    <row r="100" spans="1:3" x14ac:dyDescent="0.3">
      <c r="A100" s="262" t="s">
        <v>1066</v>
      </c>
      <c r="B100" s="44">
        <v>340085</v>
      </c>
      <c r="C100" s="44"/>
    </row>
    <row r="101" spans="1:3" x14ac:dyDescent="0.3">
      <c r="A101" s="262" t="s">
        <v>567</v>
      </c>
      <c r="B101" s="44">
        <v>420472.03</v>
      </c>
      <c r="C101" s="44"/>
    </row>
    <row r="102" spans="1:3" x14ac:dyDescent="0.3">
      <c r="A102" s="262" t="s">
        <v>781</v>
      </c>
      <c r="B102" s="46"/>
      <c r="C102" s="44"/>
    </row>
    <row r="103" spans="1:3" x14ac:dyDescent="0.3">
      <c r="A103" s="262" t="s">
        <v>710</v>
      </c>
      <c r="B103" s="44">
        <v>1794117</v>
      </c>
      <c r="C103" s="44"/>
    </row>
    <row r="104" spans="1:3" x14ac:dyDescent="0.3">
      <c r="A104" s="262" t="s">
        <v>711</v>
      </c>
      <c r="B104" s="44">
        <v>1869760</v>
      </c>
      <c r="C104" s="44"/>
    </row>
    <row r="105" spans="1:3" x14ac:dyDescent="0.3">
      <c r="A105" s="262" t="s">
        <v>712</v>
      </c>
      <c r="B105" s="44">
        <v>6448304.1600000001</v>
      </c>
      <c r="C105" s="44"/>
    </row>
    <row r="106" spans="1:3" x14ac:dyDescent="0.3">
      <c r="A106" s="262" t="s">
        <v>713</v>
      </c>
      <c r="B106" s="44">
        <v>100000</v>
      </c>
      <c r="C106" s="44"/>
    </row>
    <row r="107" spans="1:3" x14ac:dyDescent="0.3">
      <c r="A107" s="262" t="s">
        <v>714</v>
      </c>
      <c r="B107" s="44">
        <v>100000</v>
      </c>
      <c r="C107" s="44"/>
    </row>
    <row r="108" spans="1:3" x14ac:dyDescent="0.3">
      <c r="A108" s="262" t="s">
        <v>715</v>
      </c>
      <c r="B108" s="44">
        <v>1267956.3600000001</v>
      </c>
      <c r="C108" s="44"/>
    </row>
    <row r="109" spans="1:3" x14ac:dyDescent="0.3">
      <c r="A109" s="262" t="s">
        <v>513</v>
      </c>
      <c r="B109" s="47"/>
      <c r="C109" s="44"/>
    </row>
    <row r="110" spans="1:3" x14ac:dyDescent="0.3">
      <c r="A110" s="262" t="s">
        <v>514</v>
      </c>
      <c r="B110" s="44"/>
      <c r="C110" s="44"/>
    </row>
    <row r="111" spans="1:3" x14ac:dyDescent="0.3">
      <c r="A111" s="262" t="s">
        <v>515</v>
      </c>
      <c r="B111" s="44">
        <v>4542193</v>
      </c>
      <c r="C111" s="44"/>
    </row>
    <row r="112" spans="1:3" x14ac:dyDescent="0.3">
      <c r="A112" s="262" t="s">
        <v>826</v>
      </c>
      <c r="B112" s="44">
        <v>1747877.63</v>
      </c>
      <c r="C112" s="44"/>
    </row>
    <row r="113" spans="1:3" x14ac:dyDescent="0.3">
      <c r="A113" s="262" t="s">
        <v>830</v>
      </c>
      <c r="B113" s="44">
        <v>386798</v>
      </c>
      <c r="C113" s="44"/>
    </row>
    <row r="114" spans="1:3" x14ac:dyDescent="0.3">
      <c r="A114" s="262" t="s">
        <v>849</v>
      </c>
      <c r="B114" s="44"/>
      <c r="C114" s="44"/>
    </row>
    <row r="115" spans="1:3" x14ac:dyDescent="0.3">
      <c r="A115" s="697" t="s">
        <v>516</v>
      </c>
      <c r="B115" s="44"/>
      <c r="C115" s="44"/>
    </row>
    <row r="116" spans="1:3" x14ac:dyDescent="0.3">
      <c r="A116" s="262" t="s">
        <v>517</v>
      </c>
      <c r="B116" s="44"/>
      <c r="C116" s="44"/>
    </row>
    <row r="117" spans="1:3" x14ac:dyDescent="0.3">
      <c r="A117" s="262" t="s">
        <v>518</v>
      </c>
      <c r="B117" s="44"/>
      <c r="C117" s="44"/>
    </row>
    <row r="118" spans="1:3" x14ac:dyDescent="0.3">
      <c r="A118" s="697" t="s">
        <v>519</v>
      </c>
      <c r="B118" s="47"/>
      <c r="C118" s="47"/>
    </row>
    <row r="119" spans="1:3" x14ac:dyDescent="0.3">
      <c r="A119" s="262" t="s">
        <v>520</v>
      </c>
      <c r="B119" s="44"/>
      <c r="C119" s="44"/>
    </row>
    <row r="120" spans="1:3" x14ac:dyDescent="0.3">
      <c r="A120" s="697" t="s">
        <v>521</v>
      </c>
      <c r="B120" s="47"/>
      <c r="C120" s="47"/>
    </row>
    <row r="121" spans="1:3" x14ac:dyDescent="0.3">
      <c r="A121" s="698" t="s">
        <v>522</v>
      </c>
      <c r="B121" s="47"/>
      <c r="C121" s="47"/>
    </row>
    <row r="122" spans="1:3" x14ac:dyDescent="0.3">
      <c r="A122" s="262" t="s">
        <v>523</v>
      </c>
      <c r="B122" s="44"/>
      <c r="C122" s="44"/>
    </row>
    <row r="123" spans="1:3" x14ac:dyDescent="0.3">
      <c r="A123" s="262" t="s">
        <v>524</v>
      </c>
      <c r="B123" s="44"/>
      <c r="C123" s="44"/>
    </row>
    <row r="124" spans="1:3" x14ac:dyDescent="0.3">
      <c r="A124" s="262" t="s">
        <v>525</v>
      </c>
      <c r="B124" s="44"/>
      <c r="C124" s="44"/>
    </row>
    <row r="125" spans="1:3" ht="17.25" customHeight="1" x14ac:dyDescent="0.3">
      <c r="A125" s="262" t="s">
        <v>562</v>
      </c>
      <c r="B125" s="44">
        <v>4974284.6900000004</v>
      </c>
      <c r="C125" s="44"/>
    </row>
    <row r="126" spans="1:3" x14ac:dyDescent="0.3">
      <c r="A126" s="262" t="s">
        <v>477</v>
      </c>
      <c r="B126" s="44"/>
      <c r="C126" s="44"/>
    </row>
    <row r="127" spans="1:3" x14ac:dyDescent="0.3">
      <c r="A127" s="262" t="s">
        <v>851</v>
      </c>
      <c r="B127" s="44">
        <v>158766</v>
      </c>
      <c r="C127" s="44"/>
    </row>
    <row r="128" spans="1:3" x14ac:dyDescent="0.3">
      <c r="A128" s="262" t="s">
        <v>526</v>
      </c>
      <c r="B128" s="44"/>
      <c r="C128" s="44"/>
    </row>
    <row r="129" spans="1:5" x14ac:dyDescent="0.3">
      <c r="A129" s="262" t="s">
        <v>560</v>
      </c>
      <c r="B129" s="44"/>
      <c r="C129" s="44"/>
    </row>
    <row r="130" spans="1:5" x14ac:dyDescent="0.3">
      <c r="A130" s="262" t="s">
        <v>790</v>
      </c>
      <c r="B130" s="44">
        <v>229304268.22</v>
      </c>
      <c r="C130" s="44">
        <v>229394264.28</v>
      </c>
      <c r="E130" s="699"/>
    </row>
    <row r="131" spans="1:5" x14ac:dyDescent="0.3">
      <c r="A131" s="262" t="s">
        <v>561</v>
      </c>
      <c r="B131" s="44"/>
      <c r="C131" s="44"/>
    </row>
    <row r="132" spans="1:5" x14ac:dyDescent="0.3">
      <c r="A132" s="262" t="s">
        <v>527</v>
      </c>
      <c r="B132" s="44"/>
      <c r="C132" s="44"/>
    </row>
    <row r="133" spans="1:5" x14ac:dyDescent="0.3">
      <c r="A133" s="262" t="s">
        <v>796</v>
      </c>
      <c r="B133" s="44">
        <f>236520+27124+8838+54189+416+78082+1711694+203363+215517+40194.51+92+964+12311</f>
        <v>2589304.5099999998</v>
      </c>
      <c r="C133" s="44"/>
    </row>
    <row r="134" spans="1:5" x14ac:dyDescent="0.3">
      <c r="A134" s="262" t="s">
        <v>558</v>
      </c>
      <c r="B134" s="44"/>
      <c r="C134" s="44"/>
    </row>
    <row r="135" spans="1:5" x14ac:dyDescent="0.3">
      <c r="A135" s="262" t="s">
        <v>809</v>
      </c>
      <c r="B135" s="44"/>
      <c r="C135" s="44"/>
    </row>
    <row r="136" spans="1:5" x14ac:dyDescent="0.3">
      <c r="A136" s="262" t="s">
        <v>559</v>
      </c>
      <c r="B136" s="44">
        <v>2904000</v>
      </c>
      <c r="C136" s="44"/>
    </row>
    <row r="137" spans="1:5" x14ac:dyDescent="0.3">
      <c r="A137" s="262" t="s">
        <v>831</v>
      </c>
      <c r="B137" s="44">
        <v>120373</v>
      </c>
      <c r="C137" s="44"/>
    </row>
    <row r="138" spans="1:5" x14ac:dyDescent="0.3">
      <c r="A138" s="696" t="s">
        <v>528</v>
      </c>
      <c r="B138" s="47"/>
      <c r="C138" s="47"/>
    </row>
    <row r="139" spans="1:5" x14ac:dyDescent="0.3">
      <c r="A139" s="262" t="s">
        <v>574</v>
      </c>
      <c r="B139" s="44">
        <v>143301.45000000001</v>
      </c>
      <c r="C139" s="44"/>
    </row>
    <row r="140" spans="1:5" x14ac:dyDescent="0.3">
      <c r="A140" s="262" t="s">
        <v>541</v>
      </c>
      <c r="B140" s="44">
        <v>79430.47</v>
      </c>
      <c r="C140" s="44"/>
    </row>
    <row r="141" spans="1:5" x14ac:dyDescent="0.3">
      <c r="A141" s="262" t="s">
        <v>575</v>
      </c>
      <c r="B141" s="44">
        <v>173959.48</v>
      </c>
      <c r="C141" s="44"/>
    </row>
    <row r="142" spans="1:5" x14ac:dyDescent="0.3">
      <c r="A142" s="262" t="s">
        <v>529</v>
      </c>
      <c r="B142" s="44"/>
      <c r="C142" s="44">
        <v>80904.98</v>
      </c>
    </row>
    <row r="143" spans="1:5" x14ac:dyDescent="0.3">
      <c r="A143" s="262" t="s">
        <v>568</v>
      </c>
      <c r="C143" s="44"/>
    </row>
    <row r="144" spans="1:5" x14ac:dyDescent="0.3">
      <c r="A144" s="262" t="s">
        <v>569</v>
      </c>
      <c r="C144" s="44">
        <v>84635</v>
      </c>
    </row>
    <row r="145" spans="1:3" x14ac:dyDescent="0.3">
      <c r="A145" s="262" t="s">
        <v>570</v>
      </c>
      <c r="C145" s="44">
        <v>461268</v>
      </c>
    </row>
    <row r="146" spans="1:3" x14ac:dyDescent="0.3">
      <c r="A146" s="262" t="s">
        <v>852</v>
      </c>
      <c r="C146" s="44">
        <v>8568</v>
      </c>
    </row>
    <row r="147" spans="1:3" x14ac:dyDescent="0.3">
      <c r="A147" s="262" t="s">
        <v>571</v>
      </c>
      <c r="C147" s="44">
        <v>11050</v>
      </c>
    </row>
    <row r="148" spans="1:3" x14ac:dyDescent="0.3">
      <c r="A148" s="262" t="s">
        <v>587</v>
      </c>
      <c r="C148" s="44"/>
    </row>
    <row r="149" spans="1:3" x14ac:dyDescent="0.3">
      <c r="A149" s="262" t="s">
        <v>562</v>
      </c>
      <c r="B149" s="44"/>
      <c r="C149" s="44"/>
    </row>
    <row r="150" spans="1:3" ht="14.25" customHeight="1" x14ac:dyDescent="0.3">
      <c r="A150" s="262" t="s">
        <v>766</v>
      </c>
      <c r="B150" s="44"/>
      <c r="C150" s="44">
        <v>0</v>
      </c>
    </row>
    <row r="151" spans="1:3" ht="14.25" customHeight="1" x14ac:dyDescent="0.3">
      <c r="A151" s="262" t="s">
        <v>797</v>
      </c>
      <c r="B151" s="44"/>
      <c r="C151" s="44">
        <v>99501468</v>
      </c>
    </row>
    <row r="152" spans="1:3" ht="14.25" customHeight="1" x14ac:dyDescent="0.3">
      <c r="A152" s="262" t="s">
        <v>827</v>
      </c>
      <c r="B152" s="44"/>
      <c r="C152" s="44">
        <v>94442</v>
      </c>
    </row>
    <row r="153" spans="1:3" ht="14.25" customHeight="1" x14ac:dyDescent="0.3">
      <c r="A153" s="262" t="s">
        <v>828</v>
      </c>
      <c r="B153" s="44">
        <v>22450</v>
      </c>
      <c r="C153" s="44"/>
    </row>
    <row r="154" spans="1:3" ht="14.25" customHeight="1" x14ac:dyDescent="0.3">
      <c r="A154" s="262" t="s">
        <v>836</v>
      </c>
      <c r="B154" s="44"/>
      <c r="C154" s="44"/>
    </row>
    <row r="155" spans="1:3" ht="14.25" customHeight="1" x14ac:dyDescent="0.3">
      <c r="A155" s="262" t="s">
        <v>837</v>
      </c>
      <c r="B155" s="44"/>
      <c r="C155" s="44">
        <v>29222</v>
      </c>
    </row>
    <row r="156" spans="1:3" ht="14.25" customHeight="1" x14ac:dyDescent="0.3">
      <c r="A156" s="262" t="s">
        <v>838</v>
      </c>
      <c r="B156" s="44"/>
      <c r="C156" s="44">
        <v>368581.78</v>
      </c>
    </row>
    <row r="157" spans="1:3" ht="14.25" customHeight="1" x14ac:dyDescent="0.3">
      <c r="A157" s="262" t="s">
        <v>541</v>
      </c>
      <c r="B157" s="44">
        <v>411776.23</v>
      </c>
      <c r="C157" s="44"/>
    </row>
    <row r="158" spans="1:3" ht="14.25" customHeight="1" x14ac:dyDescent="0.3">
      <c r="A158" s="262" t="s">
        <v>839</v>
      </c>
      <c r="B158" s="44"/>
      <c r="C158" s="44">
        <v>296817.78000000003</v>
      </c>
    </row>
    <row r="159" spans="1:3" ht="14.25" customHeight="1" x14ac:dyDescent="0.3">
      <c r="A159" s="262" t="s">
        <v>925</v>
      </c>
      <c r="B159" s="46"/>
      <c r="C159" s="44">
        <v>340085</v>
      </c>
    </row>
    <row r="160" spans="1:3" ht="14.25" customHeight="1" x14ac:dyDescent="0.3">
      <c r="A160" s="262" t="s">
        <v>926</v>
      </c>
      <c r="B160" s="46"/>
      <c r="C160" s="44">
        <v>1076253</v>
      </c>
    </row>
    <row r="161" spans="1:3" x14ac:dyDescent="0.3">
      <c r="A161" s="262" t="s">
        <v>813</v>
      </c>
      <c r="C161" s="44">
        <v>0</v>
      </c>
    </row>
    <row r="162" spans="1:3" x14ac:dyDescent="0.3">
      <c r="A162" s="262" t="s">
        <v>829</v>
      </c>
      <c r="C162" s="44">
        <v>4142432</v>
      </c>
    </row>
    <row r="163" spans="1:3" ht="15.75" customHeight="1" x14ac:dyDescent="0.3">
      <c r="A163" s="697" t="s">
        <v>530</v>
      </c>
      <c r="B163" s="47"/>
      <c r="C163" s="47"/>
    </row>
    <row r="164" spans="1:3" x14ac:dyDescent="0.3">
      <c r="A164" s="262" t="s">
        <v>889</v>
      </c>
      <c r="B164" s="44"/>
      <c r="C164" s="44">
        <v>100000</v>
      </c>
    </row>
    <row r="165" spans="1:3" x14ac:dyDescent="0.3">
      <c r="A165" s="262" t="s">
        <v>531</v>
      </c>
      <c r="B165" s="44"/>
      <c r="C165" s="44"/>
    </row>
    <row r="166" spans="1:3" x14ac:dyDescent="0.3">
      <c r="A166" s="262" t="s">
        <v>532</v>
      </c>
      <c r="B166" s="44"/>
      <c r="C166" s="44">
        <f>+'provision '!G10</f>
        <v>935888.28300000017</v>
      </c>
    </row>
    <row r="167" spans="1:3" x14ac:dyDescent="0.3">
      <c r="A167" s="262" t="s">
        <v>533</v>
      </c>
      <c r="B167" s="44"/>
      <c r="C167" s="44">
        <v>298000</v>
      </c>
    </row>
    <row r="168" spans="1:3" x14ac:dyDescent="0.3">
      <c r="A168" s="262" t="s">
        <v>534</v>
      </c>
      <c r="B168" s="44"/>
      <c r="C168" s="44"/>
    </row>
    <row r="169" spans="1:3" x14ac:dyDescent="0.3">
      <c r="A169" s="262" t="s">
        <v>563</v>
      </c>
      <c r="B169" s="44"/>
      <c r="C169" s="44"/>
    </row>
    <row r="170" spans="1:3" x14ac:dyDescent="0.3">
      <c r="A170" s="262" t="s">
        <v>700</v>
      </c>
      <c r="B170" s="44"/>
      <c r="C170" s="44"/>
    </row>
    <row r="171" spans="1:3" x14ac:dyDescent="0.3">
      <c r="A171" s="262" t="s">
        <v>860</v>
      </c>
      <c r="B171" s="44"/>
      <c r="C171" s="44">
        <v>22870000</v>
      </c>
    </row>
    <row r="172" spans="1:3" x14ac:dyDescent="0.3">
      <c r="A172" s="262" t="s">
        <v>861</v>
      </c>
      <c r="B172" s="44"/>
      <c r="C172" s="44">
        <v>21700000</v>
      </c>
    </row>
    <row r="173" spans="1:3" x14ac:dyDescent="0.3">
      <c r="A173" s="262" t="s">
        <v>578</v>
      </c>
      <c r="B173" s="44"/>
      <c r="C173" s="44">
        <v>20706</v>
      </c>
    </row>
    <row r="174" spans="1:3" x14ac:dyDescent="0.3">
      <c r="A174" s="262" t="s">
        <v>579</v>
      </c>
      <c r="B174" s="44"/>
      <c r="C174" s="44">
        <v>410587.6</v>
      </c>
    </row>
    <row r="175" spans="1:3" ht="21" customHeight="1" x14ac:dyDescent="0.3">
      <c r="A175" s="262" t="s">
        <v>782</v>
      </c>
      <c r="B175" s="44"/>
      <c r="C175" s="44">
        <v>647675</v>
      </c>
    </row>
    <row r="176" spans="1:3" x14ac:dyDescent="0.3">
      <c r="A176" s="262" t="s">
        <v>535</v>
      </c>
      <c r="B176" s="44"/>
      <c r="C176" s="44">
        <v>27470</v>
      </c>
    </row>
    <row r="177" spans="1:3" x14ac:dyDescent="0.3">
      <c r="A177" s="700" t="s">
        <v>536</v>
      </c>
      <c r="B177" s="47"/>
      <c r="C177" s="47"/>
    </row>
    <row r="178" spans="1:3" x14ac:dyDescent="0.3">
      <c r="A178" s="262" t="s">
        <v>536</v>
      </c>
      <c r="B178" s="44"/>
      <c r="C178" s="44"/>
    </row>
    <row r="179" spans="1:3" x14ac:dyDescent="0.3">
      <c r="A179" s="700" t="s">
        <v>588</v>
      </c>
      <c r="B179" s="44"/>
      <c r="C179" s="44"/>
    </row>
    <row r="180" spans="1:3" x14ac:dyDescent="0.3">
      <c r="A180" s="262" t="s">
        <v>823</v>
      </c>
      <c r="B180" s="44">
        <v>5000000</v>
      </c>
      <c r="C180" s="44"/>
    </row>
    <row r="181" spans="1:3" x14ac:dyDescent="0.3">
      <c r="A181" s="262" t="s">
        <v>824</v>
      </c>
      <c r="B181" s="44">
        <v>11225429</v>
      </c>
      <c r="C181" s="44"/>
    </row>
    <row r="182" spans="1:3" x14ac:dyDescent="0.3">
      <c r="A182" s="262" t="s">
        <v>783</v>
      </c>
      <c r="B182" s="44">
        <v>65525670</v>
      </c>
      <c r="C182" s="44"/>
    </row>
    <row r="183" spans="1:3" x14ac:dyDescent="0.3">
      <c r="A183" s="262" t="s">
        <v>784</v>
      </c>
      <c r="B183" s="44">
        <v>7920901</v>
      </c>
      <c r="C183" s="44"/>
    </row>
    <row r="184" spans="1:3" x14ac:dyDescent="0.3">
      <c r="A184" s="262" t="s">
        <v>785</v>
      </c>
      <c r="B184" s="44">
        <v>3480000</v>
      </c>
      <c r="C184" s="44"/>
    </row>
    <row r="185" spans="1:3" x14ac:dyDescent="0.3">
      <c r="A185" s="262" t="s">
        <v>786</v>
      </c>
      <c r="B185" s="44">
        <v>125053</v>
      </c>
      <c r="C185" s="44"/>
    </row>
    <row r="186" spans="1:3" x14ac:dyDescent="0.3">
      <c r="A186" s="262" t="s">
        <v>787</v>
      </c>
      <c r="B186" s="44">
        <v>11792043</v>
      </c>
      <c r="C186" s="44"/>
    </row>
    <row r="187" spans="1:3" x14ac:dyDescent="0.3">
      <c r="A187" s="262" t="s">
        <v>818</v>
      </c>
      <c r="B187" s="44">
        <v>30945047.300000001</v>
      </c>
      <c r="C187" s="44"/>
    </row>
    <row r="188" spans="1:3" x14ac:dyDescent="0.3">
      <c r="A188" s="262" t="s">
        <v>825</v>
      </c>
      <c r="B188" s="44"/>
      <c r="C188" s="44"/>
    </row>
    <row r="189" spans="1:3" x14ac:dyDescent="0.3">
      <c r="A189" s="262" t="s">
        <v>819</v>
      </c>
      <c r="B189" s="44">
        <v>2179973</v>
      </c>
      <c r="C189" s="44"/>
    </row>
    <row r="190" spans="1:3" x14ac:dyDescent="0.3">
      <c r="A190" s="262" t="s">
        <v>743</v>
      </c>
      <c r="B190" s="44">
        <v>36899063</v>
      </c>
      <c r="C190" s="44"/>
    </row>
    <row r="191" spans="1:3" x14ac:dyDescent="0.3">
      <c r="A191" s="262" t="s">
        <v>788</v>
      </c>
      <c r="B191" s="44">
        <v>524124</v>
      </c>
      <c r="C191" s="44"/>
    </row>
    <row r="192" spans="1:3" x14ac:dyDescent="0.3">
      <c r="A192" s="262" t="s">
        <v>1072</v>
      </c>
      <c r="B192" s="44">
        <v>3083726</v>
      </c>
      <c r="C192" s="44"/>
    </row>
    <row r="193" spans="1:3" ht="17.25" customHeight="1" x14ac:dyDescent="0.3">
      <c r="A193" s="262" t="s">
        <v>716</v>
      </c>
      <c r="B193" s="44"/>
      <c r="C193" s="44"/>
    </row>
    <row r="194" spans="1:3" x14ac:dyDescent="0.3">
      <c r="A194" s="262" t="s">
        <v>859</v>
      </c>
      <c r="B194" s="44">
        <v>2409177</v>
      </c>
      <c r="C194" s="44"/>
    </row>
    <row r="195" spans="1:3" x14ac:dyDescent="0.3">
      <c r="A195" s="262" t="s">
        <v>741</v>
      </c>
      <c r="B195" s="44"/>
      <c r="C195" s="44"/>
    </row>
    <row r="196" spans="1:3" x14ac:dyDescent="0.3">
      <c r="A196" s="262" t="s">
        <v>742</v>
      </c>
      <c r="B196" s="44"/>
      <c r="C196" s="44">
        <v>213553000</v>
      </c>
    </row>
    <row r="197" spans="1:3" x14ac:dyDescent="0.3">
      <c r="A197" s="262" t="s">
        <v>702</v>
      </c>
      <c r="B197" s="44">
        <f>142500+1945</f>
        <v>144445</v>
      </c>
      <c r="C197" s="44"/>
    </row>
    <row r="198" spans="1:3" x14ac:dyDescent="0.3">
      <c r="A198" s="262" t="s">
        <v>789</v>
      </c>
      <c r="B198" s="44"/>
      <c r="C198" s="44"/>
    </row>
    <row r="199" spans="1:3" x14ac:dyDescent="0.3">
      <c r="A199" s="262" t="s">
        <v>820</v>
      </c>
      <c r="B199" s="44">
        <v>99501468</v>
      </c>
      <c r="C199" s="44"/>
    </row>
    <row r="200" spans="1:3" x14ac:dyDescent="0.3">
      <c r="A200" s="262" t="s">
        <v>862</v>
      </c>
      <c r="B200" s="44">
        <v>104828938.90000001</v>
      </c>
      <c r="C200" s="44"/>
    </row>
    <row r="201" spans="1:3" x14ac:dyDescent="0.3">
      <c r="A201" s="262" t="s">
        <v>840</v>
      </c>
      <c r="B201" s="44">
        <f>13528+3401+441343-4548-5590+3820</f>
        <v>451954</v>
      </c>
      <c r="C201" s="44"/>
    </row>
    <row r="202" spans="1:3" x14ac:dyDescent="0.3">
      <c r="A202" s="700" t="s">
        <v>9</v>
      </c>
      <c r="B202" s="44"/>
      <c r="C202" s="44"/>
    </row>
    <row r="203" spans="1:3" x14ac:dyDescent="0.3">
      <c r="A203" s="262" t="s">
        <v>858</v>
      </c>
      <c r="B203" s="44">
        <v>30000000</v>
      </c>
      <c r="C203" s="44"/>
    </row>
    <row r="204" spans="1:3" x14ac:dyDescent="0.3">
      <c r="A204" s="262"/>
      <c r="B204" s="44"/>
      <c r="C204" s="44"/>
    </row>
    <row r="205" spans="1:3" x14ac:dyDescent="0.3">
      <c r="A205" s="700" t="s">
        <v>537</v>
      </c>
      <c r="B205" s="47"/>
      <c r="C205" s="47"/>
    </row>
    <row r="206" spans="1:3" x14ac:dyDescent="0.3">
      <c r="A206" s="262" t="s">
        <v>429</v>
      </c>
      <c r="B206" s="44">
        <v>584224.85</v>
      </c>
      <c r="C206" s="47"/>
    </row>
    <row r="207" spans="1:3" x14ac:dyDescent="0.3">
      <c r="A207" s="262" t="s">
        <v>803</v>
      </c>
      <c r="B207" s="44">
        <v>1670</v>
      </c>
      <c r="C207" s="47"/>
    </row>
    <row r="208" spans="1:3" x14ac:dyDescent="0.3">
      <c r="A208" s="262" t="s">
        <v>834</v>
      </c>
      <c r="B208" s="44">
        <v>60000</v>
      </c>
      <c r="C208" s="47"/>
    </row>
    <row r="209" spans="1:3" x14ac:dyDescent="0.3">
      <c r="A209" s="262" t="s">
        <v>856</v>
      </c>
      <c r="B209" s="44"/>
      <c r="C209" s="44">
        <v>2409177</v>
      </c>
    </row>
    <row r="210" spans="1:3" x14ac:dyDescent="0.3">
      <c r="A210" s="262" t="s">
        <v>564</v>
      </c>
      <c r="B210" s="44">
        <v>131293</v>
      </c>
      <c r="C210" s="47"/>
    </row>
    <row r="211" spans="1:3" x14ac:dyDescent="0.3">
      <c r="A211" s="262" t="s">
        <v>573</v>
      </c>
      <c r="B211" s="44">
        <v>93800</v>
      </c>
      <c r="C211" s="47"/>
    </row>
    <row r="212" spans="1:3" x14ac:dyDescent="0.3">
      <c r="A212" s="262" t="s">
        <v>709</v>
      </c>
      <c r="B212" s="44">
        <v>923942.54</v>
      </c>
      <c r="C212" s="47"/>
    </row>
    <row r="213" spans="1:3" x14ac:dyDescent="0.3">
      <c r="A213" s="262" t="s">
        <v>565</v>
      </c>
      <c r="B213" s="44">
        <v>1239897.58</v>
      </c>
      <c r="C213" s="47"/>
    </row>
    <row r="214" spans="1:3" ht="15" thickBot="1" x14ac:dyDescent="0.35">
      <c r="A214" s="701" t="s">
        <v>538</v>
      </c>
      <c r="B214" s="44"/>
      <c r="C214" s="44"/>
    </row>
    <row r="215" spans="1:3" ht="15" thickBot="1" x14ac:dyDescent="0.35">
      <c r="A215" s="702" t="s">
        <v>539</v>
      </c>
      <c r="B215" s="53">
        <f>SUM(B13:B214)</f>
        <v>735099930.60300004</v>
      </c>
      <c r="C215" s="53">
        <f>SUM(C13:C214)</f>
        <v>735099930.60299993</v>
      </c>
    </row>
    <row r="217" spans="1:3" x14ac:dyDescent="0.3">
      <c r="B217" s="52">
        <f>B215-C215</f>
        <v>0</v>
      </c>
    </row>
  </sheetData>
  <mergeCells count="11">
    <mergeCell ref="A7:C7"/>
    <mergeCell ref="A8:C8"/>
    <mergeCell ref="B10:C10"/>
    <mergeCell ref="B11:C11"/>
    <mergeCell ref="B9:C9"/>
    <mergeCell ref="A6:C6"/>
    <mergeCell ref="A1:C1"/>
    <mergeCell ref="A2:C2"/>
    <mergeCell ref="A3:C3"/>
    <mergeCell ref="A4:C4"/>
    <mergeCell ref="A5:C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40"/>
  <sheetViews>
    <sheetView workbookViewId="0">
      <selection activeCell="E28" sqref="E28"/>
    </sheetView>
  </sheetViews>
  <sheetFormatPr defaultRowHeight="14.4" x14ac:dyDescent="0.3"/>
  <cols>
    <col min="3" max="3" width="3" bestFit="1" customWidth="1"/>
    <col min="4" max="4" width="58.5546875" customWidth="1"/>
    <col min="5" max="5" width="28.5546875" style="42" customWidth="1"/>
    <col min="6" max="6" width="56.109375" bestFit="1" customWidth="1"/>
  </cols>
  <sheetData>
    <row r="3" spans="2:6" x14ac:dyDescent="0.3">
      <c r="B3" t="s">
        <v>922</v>
      </c>
      <c r="C3">
        <v>1</v>
      </c>
      <c r="D3" t="s">
        <v>888</v>
      </c>
    </row>
    <row r="4" spans="2:6" x14ac:dyDescent="0.3">
      <c r="D4" t="s">
        <v>892</v>
      </c>
      <c r="E4" s="42" t="s">
        <v>911</v>
      </c>
    </row>
    <row r="5" spans="2:6" x14ac:dyDescent="0.3">
      <c r="B5" t="s">
        <v>922</v>
      </c>
      <c r="C5">
        <v>2</v>
      </c>
      <c r="D5" t="s">
        <v>905</v>
      </c>
      <c r="E5" s="42">
        <v>100000</v>
      </c>
    </row>
    <row r="6" spans="2:6" x14ac:dyDescent="0.3">
      <c r="C6" s="67">
        <v>3</v>
      </c>
      <c r="D6" t="s">
        <v>890</v>
      </c>
    </row>
    <row r="7" spans="2:6" x14ac:dyDescent="0.3">
      <c r="C7">
        <v>4</v>
      </c>
      <c r="D7" t="s">
        <v>896</v>
      </c>
    </row>
    <row r="8" spans="2:6" x14ac:dyDescent="0.3">
      <c r="B8" t="s">
        <v>922</v>
      </c>
      <c r="C8">
        <v>5</v>
      </c>
      <c r="D8" t="s">
        <v>891</v>
      </c>
    </row>
    <row r="9" spans="2:6" x14ac:dyDescent="0.3">
      <c r="D9" s="62" t="str">
        <f>+trial!A87</f>
        <v>Reserves &amp; Surplus</v>
      </c>
      <c r="E9" s="42">
        <f>+trial!B87</f>
        <v>3000080</v>
      </c>
      <c r="F9" t="s">
        <v>912</v>
      </c>
    </row>
    <row r="10" spans="2:6" x14ac:dyDescent="0.3">
      <c r="C10" s="67">
        <v>6</v>
      </c>
      <c r="D10" t="s">
        <v>893</v>
      </c>
    </row>
    <row r="11" spans="2:6" x14ac:dyDescent="0.3">
      <c r="C11" s="67">
        <v>7</v>
      </c>
      <c r="D11" t="s">
        <v>894</v>
      </c>
      <c r="E11" s="42">
        <f>+trial!B130-trial!C130</f>
        <v>-89996.060000002384</v>
      </c>
    </row>
    <row r="12" spans="2:6" x14ac:dyDescent="0.3">
      <c r="C12" s="67">
        <v>8</v>
      </c>
      <c r="D12" s="62" t="str">
        <f>+trial!A153</f>
        <v>Hospi Cash</v>
      </c>
      <c r="E12" s="42">
        <f>+trial!B153</f>
        <v>22450</v>
      </c>
      <c r="F12" t="s">
        <v>895</v>
      </c>
    </row>
    <row r="13" spans="2:6" x14ac:dyDescent="0.3">
      <c r="B13" t="s">
        <v>922</v>
      </c>
      <c r="C13">
        <v>9</v>
      </c>
      <c r="D13" s="62" t="str">
        <f>+trial!A192</f>
        <v>LOANS DPN</v>
      </c>
      <c r="E13" s="42">
        <f>+trial!B192</f>
        <v>3083726</v>
      </c>
      <c r="F13" t="s">
        <v>897</v>
      </c>
    </row>
    <row r="14" spans="2:6" x14ac:dyDescent="0.3">
      <c r="C14" s="67">
        <v>10</v>
      </c>
      <c r="D14" s="62" t="str">
        <f>+trial!A201</f>
        <v>Suspense</v>
      </c>
      <c r="E14" s="42">
        <f>+trial!B201</f>
        <v>451954</v>
      </c>
      <c r="F14" t="s">
        <v>897</v>
      </c>
    </row>
    <row r="15" spans="2:6" x14ac:dyDescent="0.3">
      <c r="C15" s="67">
        <v>11</v>
      </c>
      <c r="D15" t="s">
        <v>929</v>
      </c>
    </row>
    <row r="16" spans="2:6" x14ac:dyDescent="0.3">
      <c r="B16" t="s">
        <v>922</v>
      </c>
      <c r="C16">
        <v>12</v>
      </c>
      <c r="D16" t="s">
        <v>901</v>
      </c>
      <c r="E16" s="42" t="s">
        <v>913</v>
      </c>
    </row>
    <row r="17" spans="2:5" x14ac:dyDescent="0.3">
      <c r="C17" s="67">
        <v>13</v>
      </c>
      <c r="D17" t="s">
        <v>902</v>
      </c>
    </row>
    <row r="18" spans="2:5" x14ac:dyDescent="0.3">
      <c r="B18" t="s">
        <v>922</v>
      </c>
      <c r="C18">
        <v>14</v>
      </c>
      <c r="D18" t="s">
        <v>903</v>
      </c>
    </row>
    <row r="19" spans="2:5" x14ac:dyDescent="0.3">
      <c r="B19" t="s">
        <v>922</v>
      </c>
      <c r="C19">
        <v>15</v>
      </c>
      <c r="D19" t="s">
        <v>904</v>
      </c>
      <c r="E19" s="42" t="s">
        <v>914</v>
      </c>
    </row>
    <row r="20" spans="2:5" x14ac:dyDescent="0.3">
      <c r="B20" t="s">
        <v>922</v>
      </c>
      <c r="C20">
        <v>16</v>
      </c>
      <c r="D20" t="s">
        <v>906</v>
      </c>
    </row>
    <row r="21" spans="2:5" x14ac:dyDescent="0.3">
      <c r="D21" t="s">
        <v>907</v>
      </c>
    </row>
    <row r="22" spans="2:5" x14ac:dyDescent="0.3">
      <c r="D22" t="s">
        <v>908</v>
      </c>
    </row>
    <row r="24" spans="2:5" x14ac:dyDescent="0.3">
      <c r="C24">
        <v>17</v>
      </c>
      <c r="D24" t="s">
        <v>930</v>
      </c>
    </row>
    <row r="25" spans="2:5" x14ac:dyDescent="0.3">
      <c r="D25" t="s">
        <v>931</v>
      </c>
      <c r="E25" s="42">
        <v>3652894.61</v>
      </c>
    </row>
    <row r="26" spans="2:5" x14ac:dyDescent="0.3">
      <c r="D26" t="s">
        <v>935</v>
      </c>
      <c r="E26" s="42">
        <v>1575000</v>
      </c>
    </row>
    <row r="27" spans="2:5" x14ac:dyDescent="0.3">
      <c r="D27" t="s">
        <v>932</v>
      </c>
      <c r="E27" s="42">
        <f>+E26/5</f>
        <v>315000</v>
      </c>
    </row>
    <row r="28" spans="2:5" x14ac:dyDescent="0.3">
      <c r="D28" t="s">
        <v>933</v>
      </c>
      <c r="E28" s="66">
        <f>+E26-E27</f>
        <v>1260000</v>
      </c>
    </row>
    <row r="29" spans="2:5" x14ac:dyDescent="0.3">
      <c r="C29">
        <v>18</v>
      </c>
      <c r="D29" t="s">
        <v>934</v>
      </c>
    </row>
    <row r="30" spans="2:5" x14ac:dyDescent="0.3">
      <c r="D30" t="s">
        <v>931</v>
      </c>
      <c r="E30" s="42">
        <v>2140768</v>
      </c>
    </row>
    <row r="31" spans="2:5" x14ac:dyDescent="0.3">
      <c r="D31" t="s">
        <v>932</v>
      </c>
      <c r="E31" s="42">
        <f>+E30/5</f>
        <v>428153.59999999998</v>
      </c>
    </row>
    <row r="32" spans="2:5" x14ac:dyDescent="0.3">
      <c r="D32" t="s">
        <v>933</v>
      </c>
      <c r="E32" s="66">
        <f>+E30-E31</f>
        <v>1712614.3999999999</v>
      </c>
    </row>
    <row r="34" spans="3:5" x14ac:dyDescent="0.3">
      <c r="C34">
        <v>19</v>
      </c>
      <c r="D34" t="s">
        <v>900</v>
      </c>
      <c r="E34" s="42">
        <v>1000000</v>
      </c>
    </row>
    <row r="35" spans="3:5" x14ac:dyDescent="0.3">
      <c r="D35" t="s">
        <v>932</v>
      </c>
      <c r="E35" s="42">
        <v>500000</v>
      </c>
    </row>
    <row r="36" spans="3:5" x14ac:dyDescent="0.3">
      <c r="D36" t="s">
        <v>933</v>
      </c>
      <c r="E36" s="66">
        <f>+E34-E35</f>
        <v>500000</v>
      </c>
    </row>
    <row r="38" spans="3:5" x14ac:dyDescent="0.3">
      <c r="C38">
        <v>20</v>
      </c>
      <c r="D38" t="s">
        <v>936</v>
      </c>
      <c r="E38" s="42">
        <v>837760</v>
      </c>
    </row>
    <row r="39" spans="3:5" x14ac:dyDescent="0.3">
      <c r="D39" t="s">
        <v>938</v>
      </c>
      <c r="E39" s="42">
        <f>+E38/2</f>
        <v>418880</v>
      </c>
    </row>
    <row r="40" spans="3:5" x14ac:dyDescent="0.3">
      <c r="D40" t="s">
        <v>937</v>
      </c>
      <c r="E40" s="66">
        <f>+E38-E39</f>
        <v>418880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F17"/>
  <sheetViews>
    <sheetView workbookViewId="0">
      <selection activeCell="D16" sqref="D16"/>
    </sheetView>
  </sheetViews>
  <sheetFormatPr defaultRowHeight="14.4" x14ac:dyDescent="0.3"/>
  <cols>
    <col min="1" max="3" width="8.88671875" style="688"/>
    <col min="4" max="4" width="24.109375" style="688" bestFit="1" customWidth="1"/>
    <col min="5" max="5" width="17" style="63" customWidth="1"/>
    <col min="6" max="6" width="13.109375" style="688" bestFit="1" customWidth="1"/>
    <col min="7" max="16384" width="8.88671875" style="688"/>
  </cols>
  <sheetData>
    <row r="3" spans="4:6" x14ac:dyDescent="0.3">
      <c r="D3" s="703" t="str">
        <f>+trial!A182</f>
        <v>Express Gold Loan</v>
      </c>
      <c r="E3" s="63">
        <f>+trial!B182</f>
        <v>65525670</v>
      </c>
      <c r="F3" s="688" t="s">
        <v>917</v>
      </c>
    </row>
    <row r="4" spans="4:6" x14ac:dyDescent="0.3">
      <c r="D4" s="703" t="str">
        <f>+trial!A186</f>
        <v>Gold Loan</v>
      </c>
      <c r="E4" s="63">
        <f>+trial!B186</f>
        <v>11792043</v>
      </c>
      <c r="F4" s="688" t="s">
        <v>917</v>
      </c>
    </row>
    <row r="5" spans="4:6" x14ac:dyDescent="0.3">
      <c r="D5" s="703" t="str">
        <f>+trial!A190</f>
        <v>SBL</v>
      </c>
      <c r="E5" s="63">
        <f>+trial!B190</f>
        <v>36899063</v>
      </c>
      <c r="F5" s="688" t="s">
        <v>920</v>
      </c>
    </row>
    <row r="6" spans="4:6" x14ac:dyDescent="0.3">
      <c r="D6" s="703" t="str">
        <f>+trial!A183</f>
        <v>Express Personal Loan</v>
      </c>
      <c r="E6" s="63">
        <f>+trial!B183</f>
        <v>7920901</v>
      </c>
      <c r="F6" s="688" t="s">
        <v>919</v>
      </c>
    </row>
    <row r="7" spans="4:6" x14ac:dyDescent="0.3">
      <c r="D7" s="703" t="str">
        <f>+trial!A200</f>
        <v>Personal loan-PRAGATHI</v>
      </c>
      <c r="E7" s="63">
        <f>+trial!B200</f>
        <v>104828938.90000001</v>
      </c>
      <c r="F7" s="688" t="s">
        <v>919</v>
      </c>
    </row>
    <row r="8" spans="4:6" x14ac:dyDescent="0.3">
      <c r="D8" s="703" t="str">
        <f>+trial!A180</f>
        <v>Business Loan</v>
      </c>
      <c r="E8" s="63">
        <f>+trial!B180</f>
        <v>5000000</v>
      </c>
      <c r="F8" s="688" t="s">
        <v>921</v>
      </c>
    </row>
    <row r="9" spans="4:6" x14ac:dyDescent="0.3">
      <c r="D9" s="703" t="str">
        <f>+trial!A181</f>
        <v>Consumer durable loan</v>
      </c>
      <c r="E9" s="63">
        <f>+trial!B181</f>
        <v>11225429</v>
      </c>
      <c r="F9" s="688" t="s">
        <v>921</v>
      </c>
    </row>
    <row r="10" spans="4:6" x14ac:dyDescent="0.3">
      <c r="D10" s="703" t="str">
        <f>+trial!A184</f>
        <v>Flexi Loan</v>
      </c>
      <c r="E10" s="63">
        <f>+trial!B184</f>
        <v>3480000</v>
      </c>
      <c r="F10" s="688" t="s">
        <v>921</v>
      </c>
    </row>
    <row r="11" spans="4:6" x14ac:dyDescent="0.3">
      <c r="D11" s="703" t="str">
        <f>+trial!A185</f>
        <v>General Loan</v>
      </c>
      <c r="E11" s="63">
        <f>+trial!B185</f>
        <v>125053</v>
      </c>
      <c r="F11" s="688" t="s">
        <v>921</v>
      </c>
    </row>
    <row r="12" spans="4:6" x14ac:dyDescent="0.3">
      <c r="D12" s="703" t="str">
        <f>+trial!A187</f>
        <v>loans</v>
      </c>
      <c r="E12" s="63">
        <f>+trial!B187</f>
        <v>30945047.300000001</v>
      </c>
      <c r="F12" s="688" t="s">
        <v>921</v>
      </c>
    </row>
    <row r="13" spans="4:6" x14ac:dyDescent="0.3">
      <c r="D13" s="703" t="str">
        <f>+trial!A188</f>
        <v>loan-JLG</v>
      </c>
      <c r="E13" s="63">
        <f>+trial!B188</f>
        <v>0</v>
      </c>
    </row>
    <row r="14" spans="4:6" x14ac:dyDescent="0.3">
      <c r="D14" s="703" t="str">
        <f>+trial!A189</f>
        <v>loan product</v>
      </c>
      <c r="E14" s="63">
        <f>+trial!B189</f>
        <v>2179973</v>
      </c>
      <c r="F14" s="688" t="s">
        <v>921</v>
      </c>
    </row>
    <row r="15" spans="4:6" x14ac:dyDescent="0.3">
      <c r="D15" s="703" t="str">
        <f>+trial!A191</f>
        <v>Vehicle Loan</v>
      </c>
      <c r="E15" s="63">
        <f>+trial!B191</f>
        <v>524124</v>
      </c>
      <c r="F15" s="688" t="s">
        <v>921</v>
      </c>
    </row>
    <row r="16" spans="4:6" x14ac:dyDescent="0.3">
      <c r="D16" s="703" t="str">
        <f>+trial!A192</f>
        <v>LOANS DPN</v>
      </c>
      <c r="E16" s="63">
        <f>+trial!B192</f>
        <v>3083726</v>
      </c>
      <c r="F16" s="688" t="s">
        <v>921</v>
      </c>
    </row>
    <row r="17" spans="5:5" x14ac:dyDescent="0.3">
      <c r="E17" s="704">
        <f>+SUM(E3:E16)</f>
        <v>283529968.19999999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5:H10"/>
  <sheetViews>
    <sheetView topLeftCell="B1" workbookViewId="0">
      <selection activeCell="I16" sqref="I16"/>
    </sheetView>
  </sheetViews>
  <sheetFormatPr defaultColWidth="9.33203125" defaultRowHeight="15.6" x14ac:dyDescent="0.3"/>
  <cols>
    <col min="1" max="4" width="9.33203125" style="705"/>
    <col min="5" max="5" width="37.44140625" style="705" bestFit="1" customWidth="1"/>
    <col min="6" max="6" width="23.5546875" style="706" bestFit="1" customWidth="1"/>
    <col min="7" max="7" width="18" style="706" bestFit="1" customWidth="1"/>
    <col min="8" max="8" width="9.33203125" style="706"/>
    <col min="9" max="16384" width="9.33203125" style="705"/>
  </cols>
  <sheetData>
    <row r="5" spans="5:7" x14ac:dyDescent="0.3">
      <c r="E5" s="705" t="s">
        <v>758</v>
      </c>
      <c r="G5" s="706">
        <f>+'bs Notes'!M175</f>
        <v>220578</v>
      </c>
    </row>
    <row r="6" spans="5:7" x14ac:dyDescent="0.3">
      <c r="E6" s="705" t="s">
        <v>759</v>
      </c>
      <c r="F6" s="706">
        <f>+'bs Notes'!L42</f>
        <v>283529968.20000005</v>
      </c>
    </row>
    <row r="8" spans="5:7" x14ac:dyDescent="0.3">
      <c r="E8" s="705" t="s">
        <v>760</v>
      </c>
      <c r="F8" s="707">
        <v>2.5000000000000001E-3</v>
      </c>
      <c r="G8" s="706">
        <f>+F6*F8</f>
        <v>708824.92050000012</v>
      </c>
    </row>
    <row r="10" spans="5:7" x14ac:dyDescent="0.3">
      <c r="E10" s="705" t="s">
        <v>761</v>
      </c>
      <c r="G10" s="706">
        <f>+G8-G5</f>
        <v>488246.92050000012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tabSelected="1" topLeftCell="A13" zoomScale="90" zoomScaleNormal="90" workbookViewId="0">
      <selection activeCell="F24" sqref="F24"/>
    </sheetView>
  </sheetViews>
  <sheetFormatPr defaultColWidth="9.33203125" defaultRowHeight="13.8" x14ac:dyDescent="0.25"/>
  <cols>
    <col min="1" max="1" width="9.33203125" style="320"/>
    <col min="2" max="2" width="84.33203125" style="320" customWidth="1"/>
    <col min="3" max="3" width="8.44140625" style="320" customWidth="1"/>
    <col min="4" max="4" width="18.33203125" style="320" customWidth="1"/>
    <col min="5" max="5" width="20.44140625" style="320" customWidth="1"/>
    <col min="6" max="6" width="16.88671875" style="320" customWidth="1"/>
    <col min="7" max="7" width="14" style="320" bestFit="1" customWidth="1"/>
    <col min="8" max="8" width="13" style="320" bestFit="1" customWidth="1"/>
    <col min="9" max="16384" width="9.33203125" style="320"/>
  </cols>
  <sheetData>
    <row r="1" spans="1:7" s="261" customFormat="1" ht="28.5" customHeight="1" x14ac:dyDescent="0.4">
      <c r="A1" s="712" t="s">
        <v>270</v>
      </c>
      <c r="B1" s="713"/>
      <c r="C1" s="713"/>
      <c r="D1" s="713"/>
      <c r="E1" s="714"/>
    </row>
    <row r="2" spans="1:7" s="261" customFormat="1" ht="16.5" customHeight="1" x14ac:dyDescent="0.25">
      <c r="A2" s="715" t="s">
        <v>630</v>
      </c>
      <c r="B2" s="710"/>
      <c r="C2" s="710"/>
      <c r="D2" s="710"/>
      <c r="E2" s="711"/>
    </row>
    <row r="3" spans="1:7" s="261" customFormat="1" x14ac:dyDescent="0.25">
      <c r="A3" s="716" t="s">
        <v>271</v>
      </c>
      <c r="B3" s="717"/>
      <c r="C3" s="717"/>
      <c r="D3" s="717"/>
      <c r="E3" s="718"/>
    </row>
    <row r="4" spans="1:7" s="261" customFormat="1" ht="15.6" thickBot="1" x14ac:dyDescent="0.3">
      <c r="A4" s="727" t="s">
        <v>871</v>
      </c>
      <c r="B4" s="722"/>
      <c r="C4" s="722"/>
      <c r="D4" s="722"/>
      <c r="E4" s="723"/>
    </row>
    <row r="5" spans="1:7" ht="63.75" customHeight="1" thickBot="1" x14ac:dyDescent="0.3">
      <c r="A5" s="316" t="s">
        <v>23</v>
      </c>
      <c r="B5" s="317" t="s">
        <v>0</v>
      </c>
      <c r="C5" s="318" t="s">
        <v>1</v>
      </c>
      <c r="D5" s="318" t="s">
        <v>873</v>
      </c>
      <c r="E5" s="319" t="s">
        <v>1055</v>
      </c>
    </row>
    <row r="6" spans="1:7" ht="15" x14ac:dyDescent="0.25">
      <c r="A6" s="321"/>
      <c r="B6" s="322" t="s">
        <v>29</v>
      </c>
      <c r="C6" s="323"/>
      <c r="D6" s="236"/>
      <c r="E6" s="237"/>
    </row>
    <row r="7" spans="1:7" ht="15" x14ac:dyDescent="0.25">
      <c r="A7" s="324" t="s">
        <v>30</v>
      </c>
      <c r="B7" s="325" t="s">
        <v>31</v>
      </c>
      <c r="C7" s="326">
        <v>17</v>
      </c>
      <c r="D7" s="238">
        <f>+'pl notes'!L9</f>
        <v>39110190.140000001</v>
      </c>
      <c r="E7" s="239">
        <v>17938544.66</v>
      </c>
    </row>
    <row r="8" spans="1:7" ht="15" x14ac:dyDescent="0.25">
      <c r="A8" s="324" t="s">
        <v>32</v>
      </c>
      <c r="B8" s="325" t="s">
        <v>33</v>
      </c>
      <c r="C8" s="326"/>
      <c r="D8" s="238">
        <v>0</v>
      </c>
      <c r="E8" s="239">
        <v>0</v>
      </c>
      <c r="G8" s="327"/>
    </row>
    <row r="9" spans="1:7" ht="18.75" customHeight="1" x14ac:dyDescent="0.25">
      <c r="A9" s="324" t="s">
        <v>34</v>
      </c>
      <c r="B9" s="328" t="s">
        <v>36</v>
      </c>
      <c r="C9" s="326">
        <v>18</v>
      </c>
      <c r="D9" s="238">
        <f>'pl notes'!L24</f>
        <v>0</v>
      </c>
      <c r="E9" s="239">
        <v>0</v>
      </c>
    </row>
    <row r="10" spans="1:7" ht="15" x14ac:dyDescent="0.25">
      <c r="A10" s="324" t="s">
        <v>35</v>
      </c>
      <c r="B10" s="325" t="s">
        <v>37</v>
      </c>
      <c r="C10" s="326" t="s">
        <v>974</v>
      </c>
      <c r="D10" s="238">
        <f>+'pl notes'!L32</f>
        <v>4623096.63</v>
      </c>
      <c r="E10" s="239">
        <v>370280.07</v>
      </c>
    </row>
    <row r="11" spans="1:7" ht="15" x14ac:dyDescent="0.25">
      <c r="A11" s="329" t="s">
        <v>38</v>
      </c>
      <c r="B11" s="330" t="s">
        <v>39</v>
      </c>
      <c r="C11" s="331"/>
      <c r="D11" s="240">
        <f>SUM(D7:D10)</f>
        <v>43733286.770000003</v>
      </c>
      <c r="E11" s="241">
        <v>18308824.73</v>
      </c>
    </row>
    <row r="12" spans="1:7" ht="15" x14ac:dyDescent="0.25">
      <c r="A12" s="324"/>
      <c r="B12" s="332"/>
      <c r="C12" s="326"/>
      <c r="D12" s="238"/>
      <c r="E12" s="239"/>
    </row>
    <row r="13" spans="1:7" ht="15" x14ac:dyDescent="0.25">
      <c r="A13" s="324" t="s">
        <v>40</v>
      </c>
      <c r="B13" s="325" t="s">
        <v>41</v>
      </c>
      <c r="C13" s="326" t="s">
        <v>975</v>
      </c>
      <c r="D13" s="238">
        <f>+'pl notes'!L39</f>
        <v>6575023.1299999999</v>
      </c>
      <c r="E13" s="239">
        <v>1416768.64</v>
      </c>
    </row>
    <row r="14" spans="1:7" ht="15" x14ac:dyDescent="0.25">
      <c r="A14" s="329" t="s">
        <v>42</v>
      </c>
      <c r="B14" s="330" t="s">
        <v>703</v>
      </c>
      <c r="C14" s="331"/>
      <c r="D14" s="240">
        <f>+D11+D13</f>
        <v>50308309.900000006</v>
      </c>
      <c r="E14" s="241">
        <v>19725593.370000001</v>
      </c>
    </row>
    <row r="15" spans="1:7" ht="15" x14ac:dyDescent="0.25">
      <c r="A15" s="324"/>
      <c r="B15" s="333"/>
      <c r="C15" s="326"/>
      <c r="D15" s="238"/>
      <c r="E15" s="239"/>
    </row>
    <row r="16" spans="1:7" ht="15" x14ac:dyDescent="0.25">
      <c r="A16" s="324"/>
      <c r="B16" s="334" t="s">
        <v>43</v>
      </c>
      <c r="C16" s="326"/>
      <c r="D16" s="238"/>
      <c r="E16" s="239"/>
    </row>
    <row r="17" spans="1:7" ht="15" x14ac:dyDescent="0.25">
      <c r="A17" s="324" t="s">
        <v>30</v>
      </c>
      <c r="B17" s="328" t="s">
        <v>44</v>
      </c>
      <c r="C17" s="326">
        <v>22</v>
      </c>
      <c r="D17" s="238">
        <f>+'pl notes'!L54</f>
        <v>17721355</v>
      </c>
      <c r="E17" s="239">
        <v>6280341</v>
      </c>
    </row>
    <row r="18" spans="1:7" ht="15" x14ac:dyDescent="0.25">
      <c r="A18" s="324" t="s">
        <v>32</v>
      </c>
      <c r="B18" s="328" t="s">
        <v>307</v>
      </c>
      <c r="C18" s="326">
        <v>23</v>
      </c>
      <c r="D18" s="238">
        <f>+'pl notes'!L94</f>
        <v>29982440.673</v>
      </c>
      <c r="E18" s="239">
        <v>4353070.34</v>
      </c>
    </row>
    <row r="19" spans="1:7" ht="15" x14ac:dyDescent="0.25">
      <c r="A19" s="324" t="s">
        <v>34</v>
      </c>
      <c r="B19" s="328" t="s">
        <v>218</v>
      </c>
      <c r="C19" s="326">
        <v>9</v>
      </c>
      <c r="D19" s="238">
        <f>'fa note'!F18</f>
        <v>1254106.8971666666</v>
      </c>
      <c r="E19" s="239">
        <v>702377.08135833335</v>
      </c>
    </row>
    <row r="20" spans="1:7" ht="15" x14ac:dyDescent="0.25">
      <c r="A20" s="324" t="s">
        <v>75</v>
      </c>
      <c r="B20" s="334" t="s">
        <v>45</v>
      </c>
      <c r="C20" s="326"/>
      <c r="D20" s="240">
        <f>SUM(D17:D19)</f>
        <v>48957902.57016667</v>
      </c>
      <c r="E20" s="241">
        <v>11335788.421358334</v>
      </c>
    </row>
    <row r="21" spans="1:7" ht="15" x14ac:dyDescent="0.25">
      <c r="A21" s="324"/>
      <c r="B21" s="328"/>
      <c r="C21" s="326"/>
      <c r="D21" s="238"/>
      <c r="E21" s="239"/>
    </row>
    <row r="22" spans="1:7" ht="15" x14ac:dyDescent="0.25">
      <c r="A22" s="324" t="s">
        <v>46</v>
      </c>
      <c r="B22" s="328" t="s">
        <v>47</v>
      </c>
      <c r="C22" s="326"/>
      <c r="D22" s="238">
        <f>+D14-D20</f>
        <v>1350407.3298333362</v>
      </c>
      <c r="E22" s="239">
        <v>8389804.9486416671</v>
      </c>
    </row>
    <row r="23" spans="1:7" ht="15" x14ac:dyDescent="0.25">
      <c r="A23" s="324" t="s">
        <v>77</v>
      </c>
      <c r="B23" s="328" t="s">
        <v>48</v>
      </c>
      <c r="C23" s="326"/>
      <c r="D23" s="238">
        <v>0</v>
      </c>
      <c r="E23" s="239">
        <v>0</v>
      </c>
    </row>
    <row r="24" spans="1:7" ht="15" x14ac:dyDescent="0.25">
      <c r="A24" s="324" t="s">
        <v>76</v>
      </c>
      <c r="B24" s="328" t="s">
        <v>49</v>
      </c>
      <c r="C24" s="326"/>
      <c r="D24" s="238">
        <f>+D22-D23</f>
        <v>1350407.3298333362</v>
      </c>
      <c r="E24" s="239">
        <v>8389804.9486416671</v>
      </c>
      <c r="F24" s="998"/>
      <c r="G24" s="335"/>
    </row>
    <row r="25" spans="1:7" ht="15" x14ac:dyDescent="0.25">
      <c r="A25" s="726" t="s">
        <v>78</v>
      </c>
      <c r="B25" s="328" t="s">
        <v>50</v>
      </c>
      <c r="C25" s="326"/>
      <c r="D25" s="162"/>
      <c r="E25" s="242"/>
    </row>
    <row r="26" spans="1:7" ht="15" x14ac:dyDescent="0.25">
      <c r="A26" s="726"/>
      <c r="B26" s="328" t="s">
        <v>51</v>
      </c>
      <c r="C26" s="326"/>
      <c r="D26" s="162">
        <f>+trial!B55</f>
        <v>298000</v>
      </c>
      <c r="E26" s="242">
        <v>1984334</v>
      </c>
      <c r="G26" s="327"/>
    </row>
    <row r="27" spans="1:7" ht="15" x14ac:dyDescent="0.25">
      <c r="A27" s="726"/>
      <c r="B27" s="328" t="s">
        <v>52</v>
      </c>
      <c r="C27" s="326"/>
      <c r="D27" s="162">
        <f>'bs Notes'!K100</f>
        <v>201985.40782872995</v>
      </c>
      <c r="E27" s="242">
        <v>72729.042290074998</v>
      </c>
    </row>
    <row r="28" spans="1:7" ht="15" x14ac:dyDescent="0.25">
      <c r="A28" s="324" t="s">
        <v>79</v>
      </c>
      <c r="B28" s="328" t="s">
        <v>53</v>
      </c>
      <c r="C28" s="326"/>
      <c r="D28" s="238">
        <f>+D24-D26+D27</f>
        <v>1254392.7376620662</v>
      </c>
      <c r="E28" s="239">
        <v>6478199.9909317419</v>
      </c>
      <c r="F28" s="327"/>
    </row>
    <row r="29" spans="1:7" ht="15" x14ac:dyDescent="0.25">
      <c r="A29" s="324" t="s">
        <v>54</v>
      </c>
      <c r="B29" s="328" t="s">
        <v>55</v>
      </c>
      <c r="C29" s="326"/>
      <c r="D29" s="238">
        <v>0</v>
      </c>
      <c r="E29" s="239">
        <v>0</v>
      </c>
      <c r="G29" s="327"/>
    </row>
    <row r="30" spans="1:7" ht="15" x14ac:dyDescent="0.25">
      <c r="A30" s="324" t="s">
        <v>56</v>
      </c>
      <c r="B30" s="328" t="s">
        <v>57</v>
      </c>
      <c r="C30" s="326"/>
      <c r="D30" s="238">
        <v>0</v>
      </c>
      <c r="E30" s="239">
        <v>0</v>
      </c>
    </row>
    <row r="31" spans="1:7" ht="15" x14ac:dyDescent="0.25">
      <c r="A31" s="324" t="s">
        <v>80</v>
      </c>
      <c r="B31" s="328" t="s">
        <v>58</v>
      </c>
      <c r="C31" s="326"/>
      <c r="D31" s="238">
        <v>0</v>
      </c>
      <c r="E31" s="239">
        <v>0</v>
      </c>
    </row>
    <row r="32" spans="1:7" ht="15" x14ac:dyDescent="0.25">
      <c r="A32" s="329" t="s">
        <v>59</v>
      </c>
      <c r="B32" s="334" t="s">
        <v>60</v>
      </c>
      <c r="C32" s="326"/>
      <c r="D32" s="240">
        <f>+D31+D28</f>
        <v>1254392.7376620662</v>
      </c>
      <c r="E32" s="241">
        <v>6478199.9909317419</v>
      </c>
      <c r="G32" s="327"/>
    </row>
    <row r="33" spans="1:8" ht="15" x14ac:dyDescent="0.25">
      <c r="A33" s="324"/>
      <c r="B33" s="328"/>
      <c r="C33" s="326"/>
      <c r="D33" s="238"/>
      <c r="E33" s="239"/>
    </row>
    <row r="34" spans="1:8" ht="15" x14ac:dyDescent="0.25">
      <c r="A34" s="329" t="s">
        <v>81</v>
      </c>
      <c r="B34" s="334" t="s">
        <v>61</v>
      </c>
      <c r="C34" s="326"/>
      <c r="D34" s="238"/>
      <c r="E34" s="239"/>
    </row>
    <row r="35" spans="1:8" ht="30" x14ac:dyDescent="0.25">
      <c r="A35" s="336"/>
      <c r="B35" s="328" t="s">
        <v>82</v>
      </c>
      <c r="C35" s="326"/>
      <c r="D35" s="162">
        <v>0</v>
      </c>
      <c r="E35" s="242">
        <v>0</v>
      </c>
    </row>
    <row r="36" spans="1:8" ht="15" x14ac:dyDescent="0.25">
      <c r="A36" s="336"/>
      <c r="B36" s="328" t="s">
        <v>83</v>
      </c>
      <c r="C36" s="326"/>
      <c r="D36" s="162">
        <f>'bs Notes'!L268</f>
        <v>0</v>
      </c>
      <c r="E36" s="242">
        <v>0</v>
      </c>
    </row>
    <row r="37" spans="1:8" ht="15" x14ac:dyDescent="0.25">
      <c r="A37" s="324"/>
      <c r="B37" s="334" t="s">
        <v>62</v>
      </c>
      <c r="C37" s="326"/>
      <c r="D37" s="240">
        <f>+D35+D36</f>
        <v>0</v>
      </c>
      <c r="E37" s="241">
        <v>0</v>
      </c>
    </row>
    <row r="38" spans="1:8" ht="15" x14ac:dyDescent="0.25">
      <c r="A38" s="336"/>
      <c r="B38" s="328" t="s">
        <v>84</v>
      </c>
      <c r="C38" s="326"/>
      <c r="D38" s="162">
        <v>0</v>
      </c>
      <c r="E38" s="242">
        <v>0</v>
      </c>
      <c r="H38" s="337"/>
    </row>
    <row r="39" spans="1:8" ht="15" x14ac:dyDescent="0.25">
      <c r="A39" s="336"/>
      <c r="B39" s="328" t="s">
        <v>85</v>
      </c>
      <c r="C39" s="326"/>
      <c r="D39" s="162">
        <v>0</v>
      </c>
      <c r="E39" s="242">
        <v>0</v>
      </c>
    </row>
    <row r="40" spans="1:8" ht="15" x14ac:dyDescent="0.25">
      <c r="A40" s="324"/>
      <c r="B40" s="334" t="s">
        <v>63</v>
      </c>
      <c r="C40" s="326"/>
      <c r="D40" s="238">
        <v>0</v>
      </c>
      <c r="E40" s="241">
        <v>0</v>
      </c>
    </row>
    <row r="41" spans="1:8" ht="15" x14ac:dyDescent="0.25">
      <c r="A41" s="324"/>
      <c r="B41" s="334" t="s">
        <v>64</v>
      </c>
      <c r="C41" s="326"/>
      <c r="D41" s="240">
        <f>+D40+D37</f>
        <v>0</v>
      </c>
      <c r="E41" s="241">
        <v>0</v>
      </c>
    </row>
    <row r="42" spans="1:8" ht="30" x14ac:dyDescent="0.25">
      <c r="A42" s="338" t="s">
        <v>65</v>
      </c>
      <c r="B42" s="334" t="s">
        <v>66</v>
      </c>
      <c r="C42" s="326"/>
      <c r="D42" s="240">
        <f>+D41+D32</f>
        <v>1254392.7376620662</v>
      </c>
      <c r="E42" s="241">
        <v>6478199.9909317419</v>
      </c>
      <c r="G42" s="327"/>
    </row>
    <row r="43" spans="1:8" ht="15" x14ac:dyDescent="0.25">
      <c r="A43" s="329" t="s">
        <v>67</v>
      </c>
      <c r="B43" s="334" t="s">
        <v>68</v>
      </c>
      <c r="C43" s="326"/>
      <c r="D43" s="238"/>
      <c r="E43" s="239"/>
    </row>
    <row r="44" spans="1:8" ht="15" x14ac:dyDescent="0.25">
      <c r="A44" s="324"/>
      <c r="B44" s="328" t="s">
        <v>69</v>
      </c>
      <c r="C44" s="326"/>
      <c r="D44" s="243">
        <f>+$D$32/'bs Notes'!$K$210</f>
        <v>0.16724790507747342</v>
      </c>
      <c r="E44" s="244">
        <v>1.7274739316102883</v>
      </c>
    </row>
    <row r="45" spans="1:8" ht="15" x14ac:dyDescent="0.25">
      <c r="A45" s="324"/>
      <c r="B45" s="328" t="s">
        <v>70</v>
      </c>
      <c r="C45" s="326"/>
      <c r="D45" s="243">
        <f>+$D$32/'bs Notes'!$K$210</f>
        <v>0.16724790507747342</v>
      </c>
      <c r="E45" s="244">
        <v>1.7274739316102883</v>
      </c>
    </row>
    <row r="46" spans="1:8" ht="15" x14ac:dyDescent="0.25">
      <c r="A46" s="329" t="s">
        <v>71</v>
      </c>
      <c r="B46" s="334" t="s">
        <v>72</v>
      </c>
      <c r="C46" s="326"/>
      <c r="D46" s="243"/>
      <c r="E46" s="244"/>
    </row>
    <row r="47" spans="1:8" ht="15" x14ac:dyDescent="0.25">
      <c r="A47" s="324"/>
      <c r="B47" s="328" t="s">
        <v>69</v>
      </c>
      <c r="C47" s="326"/>
      <c r="D47" s="243">
        <v>0</v>
      </c>
      <c r="E47" s="244">
        <v>0</v>
      </c>
    </row>
    <row r="48" spans="1:8" ht="15" x14ac:dyDescent="0.25">
      <c r="A48" s="324"/>
      <c r="B48" s="328" t="s">
        <v>70</v>
      </c>
      <c r="C48" s="326"/>
      <c r="D48" s="243">
        <v>0</v>
      </c>
      <c r="E48" s="244">
        <v>0</v>
      </c>
    </row>
    <row r="49" spans="1:6" ht="15" x14ac:dyDescent="0.25">
      <c r="A49" s="329" t="s">
        <v>73</v>
      </c>
      <c r="B49" s="334" t="s">
        <v>74</v>
      </c>
      <c r="C49" s="326"/>
      <c r="D49" s="243"/>
      <c r="E49" s="244"/>
    </row>
    <row r="50" spans="1:6" ht="15" x14ac:dyDescent="0.25">
      <c r="A50" s="324"/>
      <c r="B50" s="328" t="s">
        <v>69</v>
      </c>
      <c r="C50" s="326"/>
      <c r="D50" s="243">
        <f>+D44+D47</f>
        <v>0.16724790507747342</v>
      </c>
      <c r="E50" s="244">
        <v>1.7274739316102883</v>
      </c>
    </row>
    <row r="51" spans="1:6" ht="15" x14ac:dyDescent="0.25">
      <c r="A51" s="324"/>
      <c r="B51" s="328" t="s">
        <v>70</v>
      </c>
      <c r="C51" s="326"/>
      <c r="D51" s="243">
        <f>+D45+D48</f>
        <v>0.16724790507747342</v>
      </c>
      <c r="E51" s="244">
        <v>1.7274739316102883</v>
      </c>
    </row>
    <row r="52" spans="1:6" ht="15" x14ac:dyDescent="0.25">
      <c r="A52" s="339"/>
      <c r="B52" s="340"/>
      <c r="C52" s="326"/>
      <c r="D52" s="340"/>
      <c r="E52" s="341"/>
    </row>
    <row r="53" spans="1:6" ht="15.6" thickBot="1" x14ac:dyDescent="0.3">
      <c r="A53" s="342" t="s">
        <v>86</v>
      </c>
      <c r="B53" s="343" t="s">
        <v>87</v>
      </c>
      <c r="C53" s="344" t="s">
        <v>1059</v>
      </c>
      <c r="D53" s="345"/>
      <c r="E53" s="346"/>
    </row>
    <row r="54" spans="1:6" ht="15" x14ac:dyDescent="0.25">
      <c r="A54" s="347"/>
      <c r="B54" s="348"/>
      <c r="C54" s="348"/>
      <c r="D54" s="348"/>
      <c r="E54" s="349"/>
    </row>
    <row r="55" spans="1:6" s="261" customFormat="1" ht="15" x14ac:dyDescent="0.25">
      <c r="A55" s="303" t="s">
        <v>968</v>
      </c>
      <c r="B55" s="350"/>
      <c r="C55" s="724" t="s">
        <v>267</v>
      </c>
      <c r="D55" s="724"/>
      <c r="E55" s="725"/>
    </row>
    <row r="56" spans="1:6" s="261" customFormat="1" ht="15" x14ac:dyDescent="0.25">
      <c r="A56" s="303" t="s">
        <v>957</v>
      </c>
      <c r="B56" s="350"/>
      <c r="C56" s="722" t="s">
        <v>455</v>
      </c>
      <c r="D56" s="722"/>
      <c r="E56" s="723"/>
      <c r="F56" s="351"/>
    </row>
    <row r="57" spans="1:6" s="261" customFormat="1" ht="15" x14ac:dyDescent="0.25">
      <c r="A57" s="303" t="s">
        <v>958</v>
      </c>
      <c r="B57" s="350"/>
      <c r="C57" s="350"/>
      <c r="D57" s="350"/>
      <c r="E57" s="352"/>
    </row>
    <row r="58" spans="1:6" ht="15" x14ac:dyDescent="0.25">
      <c r="A58" s="303"/>
      <c r="B58" s="350"/>
      <c r="C58" s="350"/>
      <c r="D58" s="350"/>
      <c r="E58" s="352"/>
      <c r="F58" s="261"/>
    </row>
    <row r="59" spans="1:6" s="261" customFormat="1" ht="15" x14ac:dyDescent="0.25">
      <c r="A59" s="353"/>
      <c r="B59" s="350"/>
      <c r="C59" s="350"/>
      <c r="D59" s="350"/>
      <c r="E59" s="352"/>
    </row>
    <row r="60" spans="1:6" s="261" customFormat="1" ht="15" x14ac:dyDescent="0.25">
      <c r="A60" s="353"/>
      <c r="B60" s="354"/>
      <c r="C60" s="355" t="s">
        <v>547</v>
      </c>
      <c r="D60" s="354"/>
      <c r="E60" s="356" t="s">
        <v>549</v>
      </c>
    </row>
    <row r="61" spans="1:6" s="261" customFormat="1" ht="15" x14ac:dyDescent="0.25">
      <c r="A61" s="305" t="s">
        <v>959</v>
      </c>
      <c r="B61" s="350"/>
      <c r="C61" s="350" t="s">
        <v>265</v>
      </c>
      <c r="D61" s="354"/>
      <c r="E61" s="357" t="s">
        <v>268</v>
      </c>
    </row>
    <row r="62" spans="1:6" ht="15" x14ac:dyDescent="0.25">
      <c r="A62" s="303" t="s">
        <v>960</v>
      </c>
      <c r="B62" s="350"/>
      <c r="C62" s="355" t="s">
        <v>548</v>
      </c>
      <c r="D62" s="354"/>
      <c r="E62" s="356" t="s">
        <v>550</v>
      </c>
    </row>
    <row r="63" spans="1:6" s="261" customFormat="1" ht="15" x14ac:dyDescent="0.25">
      <c r="A63" s="303" t="s">
        <v>961</v>
      </c>
      <c r="B63" s="350"/>
      <c r="C63" s="350"/>
      <c r="D63" s="354"/>
      <c r="E63" s="358"/>
    </row>
    <row r="64" spans="1:6" s="261" customFormat="1" ht="15" x14ac:dyDescent="0.25">
      <c r="A64" s="303" t="s">
        <v>1057</v>
      </c>
      <c r="B64" s="350"/>
      <c r="C64" s="350"/>
      <c r="D64" s="354"/>
      <c r="E64" s="358"/>
    </row>
    <row r="65" spans="1:5" ht="15" x14ac:dyDescent="0.25">
      <c r="A65" s="303" t="s">
        <v>962</v>
      </c>
      <c r="B65" s="350"/>
      <c r="C65" s="350"/>
      <c r="D65" s="354"/>
      <c r="E65" s="358"/>
    </row>
    <row r="66" spans="1:5" ht="15" x14ac:dyDescent="0.25">
      <c r="A66" s="303" t="s">
        <v>963</v>
      </c>
      <c r="B66" s="350"/>
      <c r="C66" s="350"/>
      <c r="D66" s="354"/>
      <c r="E66" s="358"/>
    </row>
    <row r="67" spans="1:5" x14ac:dyDescent="0.25">
      <c r="A67" s="299"/>
      <c r="B67" s="359"/>
      <c r="C67" s="306" t="s">
        <v>551</v>
      </c>
      <c r="D67" s="301"/>
      <c r="E67" s="307" t="s">
        <v>964</v>
      </c>
    </row>
    <row r="68" spans="1:5" x14ac:dyDescent="0.25">
      <c r="A68" s="299"/>
      <c r="B68" s="359"/>
      <c r="C68" s="300" t="s">
        <v>269</v>
      </c>
      <c r="D68" s="301"/>
      <c r="E68" s="308" t="s">
        <v>266</v>
      </c>
    </row>
    <row r="69" spans="1:5" x14ac:dyDescent="0.25">
      <c r="A69" s="299"/>
      <c r="B69" s="359"/>
      <c r="C69" s="359"/>
      <c r="D69" s="359"/>
      <c r="E69" s="360"/>
    </row>
    <row r="70" spans="1:5" ht="14.4" thickBot="1" x14ac:dyDescent="0.3">
      <c r="A70" s="361"/>
      <c r="B70" s="362"/>
      <c r="C70" s="362"/>
      <c r="D70" s="362"/>
      <c r="E70" s="363"/>
    </row>
  </sheetData>
  <mergeCells count="7">
    <mergeCell ref="C56:E56"/>
    <mergeCell ref="C55:E55"/>
    <mergeCell ref="A25:A27"/>
    <mergeCell ref="A1:E1"/>
    <mergeCell ref="A3:E3"/>
    <mergeCell ref="A4:E4"/>
    <mergeCell ref="A2:E2"/>
  </mergeCells>
  <printOptions horizontalCentered="1"/>
  <pageMargins left="0.19685039370078741" right="0.19685039370078741" top="0.19685039370078741" bottom="0.19685039370078741" header="0" footer="0"/>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7"/>
  <sheetViews>
    <sheetView zoomScaleNormal="100" workbookViewId="0">
      <selection activeCell="M46" sqref="M46"/>
    </sheetView>
  </sheetViews>
  <sheetFormatPr defaultColWidth="9.33203125" defaultRowHeight="13.8" x14ac:dyDescent="0.25"/>
  <cols>
    <col min="1" max="1" width="3.5546875" style="1" customWidth="1"/>
    <col min="2" max="2" width="11.44140625" style="1" bestFit="1" customWidth="1"/>
    <col min="3" max="5" width="9.33203125" style="1"/>
    <col min="6" max="6" width="12.6640625" style="1" bestFit="1" customWidth="1"/>
    <col min="7" max="7" width="10.88671875" style="1" bestFit="1" customWidth="1"/>
    <col min="8" max="10" width="17.5546875" style="2" customWidth="1"/>
    <col min="11" max="11" width="20.44140625" style="2" customWidth="1"/>
    <col min="12" max="12" width="9.33203125" style="1"/>
    <col min="13" max="13" width="15.33203125" style="364" bestFit="1" customWidth="1"/>
    <col min="14" max="14" width="10.6640625" style="1" bestFit="1" customWidth="1"/>
    <col min="15" max="15" width="14.33203125" style="1" bestFit="1" customWidth="1"/>
    <col min="16" max="16384" width="9.33203125" style="1"/>
  </cols>
  <sheetData>
    <row r="1" spans="1:13" ht="22.8" x14ac:dyDescent="0.4">
      <c r="A1" s="739" t="s">
        <v>270</v>
      </c>
      <c r="B1" s="740"/>
      <c r="C1" s="740"/>
      <c r="D1" s="740"/>
      <c r="E1" s="740"/>
      <c r="F1" s="740"/>
      <c r="G1" s="740"/>
      <c r="H1" s="740"/>
      <c r="I1" s="740"/>
      <c r="J1" s="740"/>
      <c r="K1" s="741"/>
    </row>
    <row r="2" spans="1:13" x14ac:dyDescent="0.25">
      <c r="A2" s="730" t="s">
        <v>630</v>
      </c>
      <c r="B2" s="731"/>
      <c r="C2" s="731"/>
      <c r="D2" s="731"/>
      <c r="E2" s="731"/>
      <c r="F2" s="731"/>
      <c r="G2" s="731"/>
      <c r="H2" s="731"/>
      <c r="I2" s="731"/>
      <c r="J2" s="731"/>
      <c r="K2" s="732"/>
    </row>
    <row r="3" spans="1:13" x14ac:dyDescent="0.25">
      <c r="A3" s="733" t="s">
        <v>271</v>
      </c>
      <c r="B3" s="734"/>
      <c r="C3" s="734"/>
      <c r="D3" s="734"/>
      <c r="E3" s="734"/>
      <c r="F3" s="734"/>
      <c r="G3" s="734"/>
      <c r="H3" s="734"/>
      <c r="I3" s="734"/>
      <c r="J3" s="734"/>
      <c r="K3" s="735"/>
    </row>
    <row r="4" spans="1:13" ht="14.4" thickBot="1" x14ac:dyDescent="0.3">
      <c r="A4" s="742" t="s">
        <v>874</v>
      </c>
      <c r="B4" s="743"/>
      <c r="C4" s="743"/>
      <c r="D4" s="743"/>
      <c r="E4" s="743"/>
      <c r="F4" s="743"/>
      <c r="G4" s="743"/>
      <c r="H4" s="743"/>
      <c r="I4" s="743"/>
      <c r="J4" s="743"/>
      <c r="K4" s="744"/>
    </row>
    <row r="5" spans="1:13" ht="14.4" thickBot="1" x14ac:dyDescent="0.3">
      <c r="A5" s="93" t="s">
        <v>272</v>
      </c>
      <c r="B5" s="748" t="s">
        <v>0</v>
      </c>
      <c r="C5" s="748"/>
      <c r="D5" s="748"/>
      <c r="E5" s="748"/>
      <c r="F5" s="748"/>
      <c r="G5" s="748"/>
      <c r="H5" s="745" t="s">
        <v>875</v>
      </c>
      <c r="I5" s="745"/>
      <c r="J5" s="746" t="s">
        <v>753</v>
      </c>
      <c r="K5" s="747"/>
    </row>
    <row r="6" spans="1:13" x14ac:dyDescent="0.25">
      <c r="A6" s="94" t="s">
        <v>172</v>
      </c>
      <c r="B6" s="95" t="s">
        <v>261</v>
      </c>
      <c r="C6" s="96"/>
      <c r="D6" s="96"/>
      <c r="E6" s="96"/>
      <c r="F6" s="96"/>
      <c r="G6" s="97"/>
      <c r="H6" s="98"/>
      <c r="I6" s="99"/>
      <c r="J6" s="100"/>
      <c r="K6" s="101"/>
    </row>
    <row r="7" spans="1:13" x14ac:dyDescent="0.25">
      <c r="A7" s="102"/>
      <c r="B7" s="736" t="s">
        <v>817</v>
      </c>
      <c r="C7" s="737"/>
      <c r="D7" s="737"/>
      <c r="E7" s="737"/>
      <c r="F7" s="737"/>
      <c r="G7" s="738"/>
      <c r="H7" s="105"/>
      <c r="I7" s="105">
        <f>+PorL!D24</f>
        <v>1350407.3298333362</v>
      </c>
      <c r="J7" s="105"/>
      <c r="K7" s="106">
        <v>8389805</v>
      </c>
    </row>
    <row r="8" spans="1:13" x14ac:dyDescent="0.25">
      <c r="A8" s="102"/>
      <c r="B8" s="107" t="s">
        <v>273</v>
      </c>
      <c r="C8" s="108"/>
      <c r="D8" s="108"/>
      <c r="E8" s="108"/>
      <c r="F8" s="108"/>
      <c r="G8" s="109"/>
      <c r="H8" s="105"/>
      <c r="I8" s="110"/>
      <c r="J8" s="105"/>
      <c r="K8" s="111"/>
    </row>
    <row r="9" spans="1:13" x14ac:dyDescent="0.25">
      <c r="A9" s="102"/>
      <c r="B9" s="112" t="s">
        <v>274</v>
      </c>
      <c r="C9" s="69"/>
      <c r="D9" s="103"/>
      <c r="E9" s="103"/>
      <c r="F9" s="103"/>
      <c r="G9" s="104"/>
      <c r="H9" s="105">
        <f>-PorL!D26+'bs Notes'!K100</f>
        <v>-96014.592171270051</v>
      </c>
      <c r="I9" s="113"/>
      <c r="J9" s="105">
        <v>-1911605</v>
      </c>
      <c r="K9" s="111"/>
    </row>
    <row r="10" spans="1:13" x14ac:dyDescent="0.25">
      <c r="A10" s="102"/>
      <c r="B10" s="112" t="s">
        <v>460</v>
      </c>
      <c r="C10" s="69"/>
      <c r="D10" s="103"/>
      <c r="E10" s="103"/>
      <c r="F10" s="103"/>
      <c r="G10" s="104"/>
      <c r="H10" s="114"/>
      <c r="I10" s="113"/>
      <c r="J10" s="105"/>
      <c r="K10" s="111"/>
      <c r="M10" s="365"/>
    </row>
    <row r="11" spans="1:13" x14ac:dyDescent="0.25">
      <c r="A11" s="102"/>
      <c r="B11" s="115" t="s">
        <v>218</v>
      </c>
      <c r="C11" s="69"/>
      <c r="D11" s="96"/>
      <c r="E11" s="96"/>
      <c r="F11" s="96"/>
      <c r="G11" s="97"/>
      <c r="H11" s="105">
        <f>'fa note'!F18</f>
        <v>1254106.8971666666</v>
      </c>
      <c r="I11" s="113"/>
      <c r="J11" s="105">
        <v>702377.08135833335</v>
      </c>
      <c r="K11" s="111"/>
    </row>
    <row r="12" spans="1:13" x14ac:dyDescent="0.25">
      <c r="A12" s="102"/>
      <c r="B12" s="115" t="s">
        <v>440</v>
      </c>
      <c r="C12" s="69"/>
      <c r="D12" s="96"/>
      <c r="E12" s="96"/>
      <c r="F12" s="96"/>
      <c r="G12" s="97"/>
      <c r="H12" s="105">
        <v>0</v>
      </c>
      <c r="I12" s="113"/>
      <c r="J12" s="105">
        <v>0</v>
      </c>
      <c r="K12" s="111"/>
      <c r="M12" s="365"/>
    </row>
    <row r="13" spans="1:13" x14ac:dyDescent="0.25">
      <c r="A13" s="102"/>
      <c r="B13" s="115" t="s">
        <v>441</v>
      </c>
      <c r="C13" s="69"/>
      <c r="D13" s="96"/>
      <c r="E13" s="96"/>
      <c r="F13" s="96"/>
      <c r="G13" s="97"/>
      <c r="H13" s="116">
        <f>-PorL!D37</f>
        <v>0</v>
      </c>
      <c r="I13" s="113"/>
      <c r="J13" s="105">
        <v>0</v>
      </c>
      <c r="K13" s="117"/>
    </row>
    <row r="14" spans="1:13" x14ac:dyDescent="0.25">
      <c r="A14" s="102"/>
      <c r="B14" s="115" t="s">
        <v>591</v>
      </c>
      <c r="C14" s="69"/>
      <c r="D14" s="96"/>
      <c r="E14" s="96"/>
      <c r="F14" s="96"/>
      <c r="G14" s="97"/>
      <c r="H14" s="116">
        <f>+BS!E14-BS!D14</f>
        <v>-6321055.2100000009</v>
      </c>
      <c r="I14" s="113"/>
      <c r="J14" s="105">
        <v>-1147138.95</v>
      </c>
      <c r="K14" s="117"/>
    </row>
    <row r="15" spans="1:13" x14ac:dyDescent="0.25">
      <c r="A15" s="102"/>
      <c r="B15" s="115" t="s">
        <v>276</v>
      </c>
      <c r="C15" s="69"/>
      <c r="D15" s="96"/>
      <c r="E15" s="96"/>
      <c r="F15" s="96"/>
      <c r="G15" s="97"/>
      <c r="H15" s="118"/>
      <c r="I15" s="119">
        <f>SUM(H9:H15)</f>
        <v>-5162962.9050046038</v>
      </c>
      <c r="J15" s="120">
        <v>0</v>
      </c>
      <c r="K15" s="121">
        <f>+J9+J11+J14</f>
        <v>-2356366.8686416666</v>
      </c>
    </row>
    <row r="16" spans="1:13" x14ac:dyDescent="0.25">
      <c r="A16" s="102"/>
      <c r="B16" s="107" t="s">
        <v>262</v>
      </c>
      <c r="C16" s="108"/>
      <c r="D16" s="108"/>
      <c r="E16" s="108"/>
      <c r="F16" s="108"/>
      <c r="G16" s="109"/>
      <c r="H16" s="105"/>
      <c r="I16" s="122">
        <f>+I7+I15</f>
        <v>-3812555.5751712676</v>
      </c>
      <c r="J16" s="105"/>
      <c r="K16" s="117">
        <f>+K7+K15</f>
        <v>6033438.1313583329</v>
      </c>
    </row>
    <row r="17" spans="1:13" x14ac:dyDescent="0.25">
      <c r="A17" s="102"/>
      <c r="B17" s="123" t="s">
        <v>277</v>
      </c>
      <c r="C17" s="124"/>
      <c r="D17" s="124"/>
      <c r="E17" s="124"/>
      <c r="F17" s="124"/>
      <c r="G17" s="125"/>
      <c r="H17" s="105"/>
      <c r="I17" s="110"/>
      <c r="J17" s="105"/>
      <c r="K17" s="111"/>
    </row>
    <row r="18" spans="1:13" x14ac:dyDescent="0.25">
      <c r="A18" s="102"/>
      <c r="B18" s="123" t="s">
        <v>701</v>
      </c>
      <c r="C18" s="124"/>
      <c r="D18" s="124"/>
      <c r="E18" s="124"/>
      <c r="F18" s="124"/>
      <c r="G18" s="125"/>
      <c r="H18" s="105">
        <f>+BS!D32-BS!E32</f>
        <v>715310.28300000017</v>
      </c>
      <c r="I18" s="110"/>
      <c r="J18" s="105">
        <v>184038</v>
      </c>
      <c r="K18" s="111"/>
    </row>
    <row r="19" spans="1:13" x14ac:dyDescent="0.25">
      <c r="A19" s="102"/>
      <c r="B19" s="123" t="str">
        <f>+[8]CashFlow!$B$26</f>
        <v>Change in other current liabilites</v>
      </c>
      <c r="C19" s="124"/>
      <c r="D19" s="124"/>
      <c r="E19" s="124"/>
      <c r="F19" s="124"/>
      <c r="G19" s="125"/>
      <c r="H19" s="105">
        <f>-'bs Notes'!K100</f>
        <v>-201985.40782872995</v>
      </c>
      <c r="I19" s="110"/>
      <c r="J19" s="105">
        <v>-72729</v>
      </c>
      <c r="K19" s="111"/>
    </row>
    <row r="20" spans="1:13" ht="15" customHeight="1" x14ac:dyDescent="0.25">
      <c r="A20" s="102"/>
      <c r="B20" s="123" t="s">
        <v>437</v>
      </c>
      <c r="C20" s="69"/>
      <c r="D20" s="124"/>
      <c r="E20" s="124"/>
      <c r="F20" s="124"/>
      <c r="G20" s="125"/>
      <c r="H20" s="105">
        <f>+BS!D34-BS!E34</f>
        <v>20980.170000002254</v>
      </c>
      <c r="I20" s="110"/>
      <c r="J20" s="105">
        <v>1745885</v>
      </c>
      <c r="K20" s="111"/>
    </row>
    <row r="21" spans="1:13" x14ac:dyDescent="0.25">
      <c r="A21" s="102"/>
      <c r="B21" s="123" t="s">
        <v>752</v>
      </c>
      <c r="C21" s="69"/>
      <c r="D21" s="124"/>
      <c r="E21" s="124"/>
      <c r="F21" s="124"/>
      <c r="G21" s="125"/>
      <c r="H21" s="105">
        <f>(BS!D29+BS!D27+BS!D28)-(BS!E29+BS!E27+BS!E28)</f>
        <v>-2873588</v>
      </c>
      <c r="I21" s="110"/>
      <c r="J21" s="105">
        <v>12193490</v>
      </c>
      <c r="K21" s="111"/>
    </row>
    <row r="22" spans="1:13" x14ac:dyDescent="0.25">
      <c r="A22" s="102"/>
      <c r="B22" s="123" t="s">
        <v>438</v>
      </c>
      <c r="C22" s="69"/>
      <c r="D22" s="124"/>
      <c r="E22" s="124"/>
      <c r="F22" s="124"/>
      <c r="G22" s="125"/>
      <c r="H22" s="105">
        <f>+BS!E16-BS!D16+BS!E11-BS!D11</f>
        <v>-8873704.0300000012</v>
      </c>
      <c r="I22" s="110"/>
      <c r="J22" s="105">
        <v>2904787</v>
      </c>
      <c r="K22" s="111"/>
    </row>
    <row r="23" spans="1:13" x14ac:dyDescent="0.25">
      <c r="A23" s="102"/>
      <c r="B23" s="123"/>
      <c r="C23" s="69"/>
      <c r="D23" s="124"/>
      <c r="E23" s="124"/>
      <c r="F23" s="124"/>
      <c r="G23" s="125"/>
      <c r="H23" s="105"/>
      <c r="I23" s="110"/>
      <c r="J23" s="105"/>
      <c r="K23" s="111"/>
    </row>
    <row r="24" spans="1:13" x14ac:dyDescent="0.25">
      <c r="A24" s="102"/>
      <c r="B24" s="115" t="s">
        <v>450</v>
      </c>
      <c r="C24" s="69"/>
      <c r="D24" s="96"/>
      <c r="E24" s="96"/>
      <c r="F24" s="96"/>
      <c r="G24" s="97"/>
      <c r="H24" s="120">
        <f>-BS!D10+BS!E10</f>
        <v>-192214856.03000003</v>
      </c>
      <c r="I24" s="126">
        <f>SUM(H18:H24)</f>
        <v>-203427843.01482877</v>
      </c>
      <c r="J24" s="120">
        <v>-76699212.170000002</v>
      </c>
      <c r="K24" s="127">
        <f>+J18+J20+J21+J22+J24+J19</f>
        <v>-59743741.170000002</v>
      </c>
    </row>
    <row r="25" spans="1:13" x14ac:dyDescent="0.25">
      <c r="A25" s="102"/>
      <c r="B25" s="107" t="s">
        <v>278</v>
      </c>
      <c r="C25" s="108"/>
      <c r="D25" s="108"/>
      <c r="E25" s="108"/>
      <c r="F25" s="108"/>
      <c r="G25" s="109"/>
      <c r="H25" s="105"/>
      <c r="I25" s="122">
        <f>SUM(I16:I24)</f>
        <v>-207240398.59000003</v>
      </c>
      <c r="J25" s="105"/>
      <c r="K25" s="117">
        <v>-53710303.090000004</v>
      </c>
      <c r="M25" s="365"/>
    </row>
    <row r="26" spans="1:13" x14ac:dyDescent="0.25">
      <c r="A26" s="102"/>
      <c r="B26" s="128" t="s">
        <v>279</v>
      </c>
      <c r="C26" s="124" t="s">
        <v>280</v>
      </c>
      <c r="D26" s="124"/>
      <c r="E26" s="124"/>
      <c r="F26" s="124"/>
      <c r="G26" s="125"/>
      <c r="H26" s="120">
        <v>0</v>
      </c>
      <c r="I26" s="126">
        <f>H26</f>
        <v>0</v>
      </c>
      <c r="J26" s="120">
        <v>0</v>
      </c>
      <c r="K26" s="127">
        <v>0</v>
      </c>
    </row>
    <row r="27" spans="1:13" x14ac:dyDescent="0.25">
      <c r="A27" s="102"/>
      <c r="B27" s="107" t="s">
        <v>281</v>
      </c>
      <c r="C27" s="108"/>
      <c r="D27" s="108"/>
      <c r="E27" s="108"/>
      <c r="F27" s="108"/>
      <c r="G27" s="109"/>
      <c r="H27" s="105"/>
      <c r="I27" s="129">
        <f>+I25-I26</f>
        <v>-207240398.59000003</v>
      </c>
      <c r="J27" s="105"/>
      <c r="K27" s="130">
        <v>-53710303.090000004</v>
      </c>
    </row>
    <row r="28" spans="1:13" x14ac:dyDescent="0.25">
      <c r="A28" s="102"/>
      <c r="B28" s="123" t="s">
        <v>282</v>
      </c>
      <c r="C28" s="124"/>
      <c r="D28" s="124"/>
      <c r="E28" s="124"/>
      <c r="F28" s="124"/>
      <c r="G28" s="125"/>
      <c r="H28" s="105"/>
      <c r="I28" s="131">
        <v>0</v>
      </c>
      <c r="J28" s="105"/>
      <c r="K28" s="132">
        <v>0</v>
      </c>
    </row>
    <row r="29" spans="1:13" x14ac:dyDescent="0.25">
      <c r="A29" s="102"/>
      <c r="B29" s="107" t="s">
        <v>283</v>
      </c>
      <c r="C29" s="108"/>
      <c r="D29" s="108"/>
      <c r="E29" s="108"/>
      <c r="F29" s="108"/>
      <c r="G29" s="109"/>
      <c r="H29" s="133"/>
      <c r="I29" s="129">
        <f>+I27+I28</f>
        <v>-207240398.59000003</v>
      </c>
      <c r="J29" s="133"/>
      <c r="K29" s="130">
        <v>-53710303.090000004</v>
      </c>
    </row>
    <row r="30" spans="1:13" x14ac:dyDescent="0.25">
      <c r="A30" s="102"/>
      <c r="B30" s="115"/>
      <c r="C30" s="96"/>
      <c r="D30" s="96"/>
      <c r="E30" s="96"/>
      <c r="F30" s="96"/>
      <c r="G30" s="97"/>
      <c r="H30" s="105"/>
      <c r="I30" s="110"/>
      <c r="J30" s="105"/>
      <c r="K30" s="111"/>
    </row>
    <row r="31" spans="1:13" x14ac:dyDescent="0.25">
      <c r="A31" s="134" t="s">
        <v>174</v>
      </c>
      <c r="B31" s="107" t="s">
        <v>263</v>
      </c>
      <c r="C31" s="108"/>
      <c r="D31" s="108"/>
      <c r="E31" s="108"/>
      <c r="F31" s="108"/>
      <c r="G31" s="109"/>
      <c r="H31" s="105"/>
      <c r="I31" s="110"/>
      <c r="J31" s="105"/>
      <c r="K31" s="111"/>
    </row>
    <row r="32" spans="1:13" x14ac:dyDescent="0.25">
      <c r="A32" s="134"/>
      <c r="B32" s="115" t="s">
        <v>33</v>
      </c>
      <c r="C32" s="69"/>
      <c r="D32" s="96"/>
      <c r="E32" s="96"/>
      <c r="F32" s="96"/>
      <c r="G32" s="97"/>
      <c r="H32" s="105"/>
      <c r="I32" s="113"/>
      <c r="J32" s="105">
        <v>0</v>
      </c>
      <c r="K32" s="111"/>
    </row>
    <row r="33" spans="1:14" x14ac:dyDescent="0.25">
      <c r="A33" s="134"/>
      <c r="B33" s="115" t="s">
        <v>275</v>
      </c>
      <c r="C33" s="69"/>
      <c r="D33" s="96"/>
      <c r="E33" s="96"/>
      <c r="F33" s="96"/>
      <c r="G33" s="97"/>
      <c r="H33" s="105">
        <v>0</v>
      </c>
      <c r="I33" s="113"/>
      <c r="J33" s="105">
        <v>0</v>
      </c>
      <c r="K33" s="111"/>
    </row>
    <row r="34" spans="1:14" x14ac:dyDescent="0.25">
      <c r="A34" s="134"/>
      <c r="B34" s="115" t="s">
        <v>1069</v>
      </c>
      <c r="C34" s="69"/>
      <c r="D34" s="96"/>
      <c r="E34" s="96"/>
      <c r="F34" s="96"/>
      <c r="G34" s="97"/>
      <c r="H34" s="105">
        <f>-BS!D9</f>
        <v>-30340085</v>
      </c>
      <c r="I34" s="113"/>
      <c r="J34" s="105">
        <v>0</v>
      </c>
      <c r="K34" s="111"/>
    </row>
    <row r="35" spans="1:14" x14ac:dyDescent="0.25">
      <c r="A35" s="134"/>
      <c r="B35" s="115" t="s">
        <v>590</v>
      </c>
      <c r="C35" s="69"/>
      <c r="D35" s="96"/>
      <c r="E35" s="96"/>
      <c r="F35" s="96"/>
      <c r="G35" s="97"/>
      <c r="H35" s="105">
        <f>-'fa note'!C18</f>
        <v>-1758514.73</v>
      </c>
      <c r="I35" s="113"/>
      <c r="J35" s="105">
        <v>-863615.42</v>
      </c>
      <c r="K35" s="111"/>
    </row>
    <row r="36" spans="1:14" x14ac:dyDescent="0.25">
      <c r="A36" s="134"/>
      <c r="B36" s="123" t="s">
        <v>284</v>
      </c>
      <c r="C36" s="69"/>
      <c r="D36" s="124"/>
      <c r="E36" s="124"/>
      <c r="F36" s="124"/>
      <c r="G36" s="125"/>
      <c r="H36" s="120">
        <v>0</v>
      </c>
      <c r="I36" s="119">
        <f>SUM(H32:H36)</f>
        <v>-32098599.73</v>
      </c>
      <c r="J36" s="120">
        <v>0</v>
      </c>
      <c r="K36" s="127">
        <v>-863615.42</v>
      </c>
    </row>
    <row r="37" spans="1:14" x14ac:dyDescent="0.25">
      <c r="A37" s="134"/>
      <c r="B37" s="107" t="s">
        <v>285</v>
      </c>
      <c r="C37" s="108"/>
      <c r="D37" s="108"/>
      <c r="E37" s="108"/>
      <c r="F37" s="108"/>
      <c r="G37" s="109"/>
      <c r="H37" s="133"/>
      <c r="I37" s="129">
        <f>+I36</f>
        <v>-32098599.73</v>
      </c>
      <c r="J37" s="133"/>
      <c r="K37" s="130">
        <v>-863615.42</v>
      </c>
    </row>
    <row r="38" spans="1:14" x14ac:dyDescent="0.25">
      <c r="A38" s="102"/>
      <c r="B38" s="95"/>
      <c r="C38" s="103"/>
      <c r="D38" s="103"/>
      <c r="E38" s="103"/>
      <c r="F38" s="103"/>
      <c r="G38" s="104"/>
      <c r="H38" s="105"/>
      <c r="I38" s="122"/>
      <c r="J38" s="105"/>
      <c r="K38" s="117"/>
    </row>
    <row r="39" spans="1:14" x14ac:dyDescent="0.25">
      <c r="A39" s="134" t="s">
        <v>286</v>
      </c>
      <c r="B39" s="107" t="s">
        <v>264</v>
      </c>
      <c r="C39" s="108"/>
      <c r="D39" s="108"/>
      <c r="E39" s="108"/>
      <c r="F39" s="108"/>
      <c r="G39" s="109"/>
      <c r="H39" s="105"/>
      <c r="I39" s="110"/>
      <c r="J39" s="105"/>
      <c r="K39" s="111"/>
    </row>
    <row r="40" spans="1:14" x14ac:dyDescent="0.25">
      <c r="A40" s="134"/>
      <c r="B40" s="123" t="s">
        <v>1071</v>
      </c>
      <c r="C40" s="108"/>
      <c r="D40" s="108"/>
      <c r="E40" s="108"/>
      <c r="F40" s="108"/>
      <c r="G40" s="109"/>
      <c r="H40" s="105">
        <f>+'bs Notes'!L142-'bs Notes'!M142</f>
        <v>-3300000</v>
      </c>
      <c r="I40" s="110"/>
      <c r="J40" s="105"/>
      <c r="K40" s="111"/>
    </row>
    <row r="41" spans="1:14" x14ac:dyDescent="0.25">
      <c r="A41" s="134"/>
      <c r="B41" s="123" t="s">
        <v>1070</v>
      </c>
      <c r="C41" s="108"/>
      <c r="D41" s="108"/>
      <c r="E41" s="108"/>
      <c r="F41" s="108"/>
      <c r="G41" s="109"/>
      <c r="H41" s="105">
        <f>+'bs Notes'!L140-'bs Notes'!M140+'bs Notes'!L141-'bs Notes'!M141</f>
        <v>44570000</v>
      </c>
      <c r="I41" s="110"/>
      <c r="J41" s="105">
        <v>0</v>
      </c>
      <c r="K41" s="111"/>
    </row>
    <row r="42" spans="1:14" x14ac:dyDescent="0.25">
      <c r="A42" s="102"/>
      <c r="B42" s="115" t="s">
        <v>816</v>
      </c>
      <c r="C42" s="69"/>
      <c r="D42" s="96"/>
      <c r="E42" s="96"/>
      <c r="F42" s="96"/>
      <c r="G42" s="97"/>
      <c r="H42" s="105">
        <f>+BS!D25-BS!E25</f>
        <v>211703000</v>
      </c>
      <c r="I42" s="110"/>
      <c r="J42" s="105">
        <v>0</v>
      </c>
      <c r="K42" s="111">
        <v>0</v>
      </c>
    </row>
    <row r="43" spans="1:14" x14ac:dyDescent="0.25">
      <c r="A43" s="102"/>
      <c r="B43" s="115" t="s">
        <v>454</v>
      </c>
      <c r="C43" s="69"/>
      <c r="D43" s="96"/>
      <c r="E43" s="96"/>
      <c r="F43" s="96"/>
      <c r="G43" s="97"/>
      <c r="H43" s="116">
        <f>-trial!B87</f>
        <v>-3000080</v>
      </c>
      <c r="I43" s="126"/>
      <c r="J43" s="120"/>
      <c r="K43" s="127"/>
    </row>
    <row r="44" spans="1:14" x14ac:dyDescent="0.25">
      <c r="A44" s="102"/>
      <c r="B44" s="115"/>
      <c r="C44" s="69"/>
      <c r="D44" s="96"/>
      <c r="E44" s="96"/>
      <c r="F44" s="96"/>
      <c r="G44" s="97"/>
      <c r="H44" s="105"/>
      <c r="I44" s="110">
        <f>+H41+H42+H43+H40</f>
        <v>249972920</v>
      </c>
      <c r="J44" s="105"/>
      <c r="K44" s="111"/>
    </row>
    <row r="45" spans="1:14" x14ac:dyDescent="0.25">
      <c r="A45" s="102"/>
      <c r="B45" s="107" t="s">
        <v>287</v>
      </c>
      <c r="C45" s="108"/>
      <c r="D45" s="108"/>
      <c r="E45" s="108"/>
      <c r="F45" s="108"/>
      <c r="G45" s="109"/>
      <c r="H45" s="133"/>
      <c r="I45" s="129"/>
      <c r="J45" s="133"/>
      <c r="K45" s="130">
        <v>0</v>
      </c>
    </row>
    <row r="46" spans="1:14" x14ac:dyDescent="0.25">
      <c r="A46" s="102"/>
      <c r="B46" s="107"/>
      <c r="C46" s="108"/>
      <c r="D46" s="108"/>
      <c r="E46" s="108"/>
      <c r="F46" s="108"/>
      <c r="G46" s="109"/>
      <c r="H46" s="105"/>
      <c r="I46" s="122"/>
      <c r="J46" s="105"/>
      <c r="K46" s="117"/>
    </row>
    <row r="47" spans="1:14" x14ac:dyDescent="0.25">
      <c r="A47" s="94" t="s">
        <v>442</v>
      </c>
      <c r="B47" s="107" t="s">
        <v>288</v>
      </c>
      <c r="C47" s="108"/>
      <c r="D47" s="108"/>
      <c r="E47" s="108"/>
      <c r="F47" s="108"/>
      <c r="G47" s="109"/>
      <c r="H47" s="105"/>
      <c r="I47" s="129">
        <f>I29+I37+I44</f>
        <v>10633921.679999977</v>
      </c>
      <c r="J47" s="105"/>
      <c r="K47" s="130">
        <v>-54573918.510000005</v>
      </c>
      <c r="M47" s="365"/>
      <c r="N47" s="2"/>
    </row>
    <row r="48" spans="1:14" x14ac:dyDescent="0.25">
      <c r="A48" s="94" t="s">
        <v>443</v>
      </c>
      <c r="B48" s="107" t="s">
        <v>289</v>
      </c>
      <c r="C48" s="108"/>
      <c r="D48" s="108"/>
      <c r="E48" s="108"/>
      <c r="F48" s="108"/>
      <c r="G48" s="109"/>
      <c r="H48" s="105"/>
      <c r="I48" s="122">
        <f>K49</f>
        <v>7238894.4899999946</v>
      </c>
      <c r="J48" s="105"/>
      <c r="K48" s="117">
        <v>61812813</v>
      </c>
      <c r="M48" s="365"/>
    </row>
    <row r="49" spans="1:14" ht="14.4" thickBot="1" x14ac:dyDescent="0.3">
      <c r="A49" s="94" t="s">
        <v>444</v>
      </c>
      <c r="B49" s="107" t="s">
        <v>290</v>
      </c>
      <c r="C49" s="108"/>
      <c r="D49" s="108"/>
      <c r="E49" s="108"/>
      <c r="F49" s="108"/>
      <c r="G49" s="109"/>
      <c r="H49" s="105"/>
      <c r="I49" s="135">
        <f>I48+I47</f>
        <v>17872816.169999972</v>
      </c>
      <c r="J49" s="105"/>
      <c r="K49" s="136">
        <v>7238894.4899999946</v>
      </c>
      <c r="M49" s="365"/>
      <c r="N49" s="2"/>
    </row>
    <row r="50" spans="1:14" x14ac:dyDescent="0.25">
      <c r="A50" s="137"/>
      <c r="B50" s="138"/>
      <c r="C50" s="138"/>
      <c r="D50" s="138"/>
      <c r="E50" s="138"/>
      <c r="F50" s="138"/>
      <c r="G50" s="138"/>
      <c r="H50" s="139"/>
      <c r="I50" s="139"/>
      <c r="J50" s="140"/>
      <c r="K50" s="141"/>
      <c r="M50" s="365"/>
    </row>
    <row r="51" spans="1:14" x14ac:dyDescent="0.25">
      <c r="A51" s="70"/>
      <c r="B51" s="142"/>
      <c r="C51" s="142"/>
      <c r="D51" s="142"/>
      <c r="E51" s="142"/>
      <c r="F51" s="142"/>
      <c r="G51" s="142"/>
      <c r="H51" s="71"/>
      <c r="I51" s="749" t="s">
        <v>267</v>
      </c>
      <c r="J51" s="749"/>
      <c r="K51" s="750"/>
    </row>
    <row r="52" spans="1:14" ht="15" x14ac:dyDescent="0.25">
      <c r="A52" s="143"/>
      <c r="B52" s="68" t="s">
        <v>968</v>
      </c>
      <c r="C52" s="69"/>
      <c r="D52" s="142"/>
      <c r="E52" s="142"/>
      <c r="F52" s="142"/>
      <c r="G52" s="144"/>
      <c r="H52" s="71"/>
      <c r="I52" s="728" t="s">
        <v>455</v>
      </c>
      <c r="J52" s="728"/>
      <c r="K52" s="729"/>
      <c r="M52" s="365"/>
    </row>
    <row r="53" spans="1:14" ht="15" x14ac:dyDescent="0.25">
      <c r="A53" s="145"/>
      <c r="B53" s="68" t="s">
        <v>957</v>
      </c>
      <c r="C53" s="69"/>
      <c r="D53" s="142"/>
      <c r="E53" s="142"/>
      <c r="F53" s="142"/>
      <c r="G53" s="142"/>
      <c r="H53" s="71"/>
      <c r="I53" s="71"/>
      <c r="J53" s="144"/>
      <c r="K53" s="146"/>
      <c r="M53" s="366"/>
      <c r="N53" s="2"/>
    </row>
    <row r="54" spans="1:14" ht="15" x14ac:dyDescent="0.25">
      <c r="A54" s="70"/>
      <c r="B54" s="68" t="s">
        <v>958</v>
      </c>
      <c r="C54" s="69"/>
      <c r="D54" s="69"/>
      <c r="E54" s="69"/>
      <c r="F54" s="69"/>
      <c r="G54" s="69"/>
      <c r="H54" s="71"/>
      <c r="I54" s="71"/>
      <c r="J54" s="71"/>
      <c r="K54" s="75"/>
      <c r="M54" s="367"/>
    </row>
    <row r="55" spans="1:14" ht="15" x14ac:dyDescent="0.25">
      <c r="A55" s="70"/>
      <c r="B55" s="68"/>
      <c r="C55" s="69"/>
      <c r="D55" s="69"/>
      <c r="E55" s="69"/>
      <c r="F55" s="69"/>
      <c r="G55" s="69"/>
      <c r="H55" s="71"/>
      <c r="I55" s="71"/>
      <c r="J55" s="71"/>
      <c r="K55" s="75"/>
    </row>
    <row r="56" spans="1:14" x14ac:dyDescent="0.25">
      <c r="A56" s="70"/>
      <c r="B56" s="69"/>
      <c r="C56" s="69"/>
      <c r="D56" s="69"/>
      <c r="E56" s="69"/>
      <c r="F56" s="69"/>
      <c r="G56" s="69"/>
      <c r="H56" s="71"/>
      <c r="I56" s="72" t="s">
        <v>547</v>
      </c>
      <c r="J56" s="71"/>
      <c r="K56" s="73" t="s">
        <v>549</v>
      </c>
    </row>
    <row r="57" spans="1:14" x14ac:dyDescent="0.25">
      <c r="A57" s="70"/>
      <c r="B57" s="69"/>
      <c r="C57" s="71"/>
      <c r="D57" s="69"/>
      <c r="E57" s="69"/>
      <c r="F57" s="69"/>
      <c r="G57" s="69"/>
      <c r="H57" s="71"/>
      <c r="I57" s="69" t="s">
        <v>265</v>
      </c>
      <c r="J57" s="71"/>
      <c r="K57" s="75" t="s">
        <v>268</v>
      </c>
    </row>
    <row r="58" spans="1:14" ht="15" x14ac:dyDescent="0.25">
      <c r="A58" s="77"/>
      <c r="B58" s="74" t="s">
        <v>959</v>
      </c>
      <c r="C58" s="69"/>
      <c r="D58" s="69"/>
      <c r="E58" s="69"/>
      <c r="F58" s="69"/>
      <c r="G58" s="69"/>
      <c r="H58" s="71"/>
      <c r="I58" s="72" t="s">
        <v>548</v>
      </c>
      <c r="J58" s="71"/>
      <c r="K58" s="73" t="s">
        <v>550</v>
      </c>
    </row>
    <row r="59" spans="1:14" ht="15" x14ac:dyDescent="0.25">
      <c r="A59" s="70"/>
      <c r="B59" s="68" t="s">
        <v>960</v>
      </c>
      <c r="C59" s="69"/>
      <c r="D59" s="69"/>
      <c r="E59" s="69"/>
      <c r="F59" s="69"/>
      <c r="G59" s="69"/>
      <c r="H59" s="71"/>
      <c r="I59" s="69"/>
      <c r="J59" s="71"/>
      <c r="K59" s="76"/>
    </row>
    <row r="60" spans="1:14" ht="15" x14ac:dyDescent="0.25">
      <c r="A60" s="70"/>
      <c r="B60" s="68" t="s">
        <v>961</v>
      </c>
      <c r="C60" s="69"/>
      <c r="D60" s="69"/>
      <c r="E60" s="69"/>
      <c r="F60" s="69"/>
      <c r="G60" s="69"/>
      <c r="H60" s="71"/>
      <c r="I60" s="69"/>
      <c r="J60" s="71"/>
      <c r="K60" s="76"/>
    </row>
    <row r="61" spans="1:14" ht="15" x14ac:dyDescent="0.25">
      <c r="A61" s="70"/>
      <c r="B61" s="68" t="s">
        <v>1057</v>
      </c>
      <c r="C61" s="69"/>
      <c r="D61" s="69"/>
      <c r="E61" s="69"/>
      <c r="F61" s="69"/>
      <c r="G61" s="69"/>
      <c r="H61" s="71"/>
      <c r="I61" s="69"/>
      <c r="J61" s="71"/>
      <c r="K61" s="76"/>
    </row>
    <row r="62" spans="1:14" ht="15" x14ac:dyDescent="0.25">
      <c r="A62" s="70"/>
      <c r="B62" s="68" t="s">
        <v>962</v>
      </c>
      <c r="C62" s="69"/>
      <c r="D62" s="69"/>
      <c r="E62" s="69"/>
      <c r="F62" s="69"/>
      <c r="G62" s="69"/>
      <c r="H62" s="71"/>
      <c r="I62" s="69"/>
      <c r="J62" s="71"/>
      <c r="K62" s="76"/>
    </row>
    <row r="63" spans="1:14" ht="15" x14ac:dyDescent="0.25">
      <c r="A63" s="70"/>
      <c r="B63" s="68" t="s">
        <v>963</v>
      </c>
      <c r="C63" s="69"/>
      <c r="D63" s="69"/>
      <c r="E63" s="69"/>
      <c r="F63" s="69"/>
      <c r="G63" s="69"/>
      <c r="H63" s="71"/>
      <c r="I63" s="72" t="s">
        <v>551</v>
      </c>
      <c r="J63" s="71"/>
      <c r="K63" s="73" t="s">
        <v>964</v>
      </c>
    </row>
    <row r="64" spans="1:14" x14ac:dyDescent="0.25">
      <c r="A64" s="70"/>
      <c r="B64" s="69"/>
      <c r="C64" s="69"/>
      <c r="D64" s="69"/>
      <c r="E64" s="69"/>
      <c r="F64" s="69"/>
      <c r="G64" s="69"/>
      <c r="H64" s="71"/>
      <c r="I64" s="69" t="s">
        <v>269</v>
      </c>
      <c r="J64" s="71"/>
      <c r="K64" s="75" t="s">
        <v>266</v>
      </c>
    </row>
    <row r="65" spans="1:11" ht="14.4" thickBot="1" x14ac:dyDescent="0.3">
      <c r="A65" s="78"/>
      <c r="B65" s="79"/>
      <c r="C65" s="79"/>
      <c r="D65" s="79"/>
      <c r="E65" s="79"/>
      <c r="F65" s="79"/>
      <c r="G65" s="79"/>
      <c r="H65" s="80"/>
      <c r="I65" s="80"/>
      <c r="J65" s="80"/>
      <c r="K65" s="147"/>
    </row>
    <row r="68" spans="1:11" x14ac:dyDescent="0.25">
      <c r="A68" s="3"/>
      <c r="B68" s="4"/>
      <c r="C68" s="4"/>
      <c r="D68" s="4"/>
      <c r="E68" s="4"/>
      <c r="F68" s="4"/>
      <c r="G68" s="4"/>
      <c r="H68" s="5"/>
      <c r="I68" s="5"/>
      <c r="J68" s="5"/>
      <c r="K68" s="5"/>
    </row>
    <row r="74" spans="1:11" x14ac:dyDescent="0.25">
      <c r="F74" s="6"/>
    </row>
    <row r="75" spans="1:11" ht="15.6" x14ac:dyDescent="0.4">
      <c r="F75" s="7"/>
    </row>
    <row r="76" spans="1:11" x14ac:dyDescent="0.25">
      <c r="F76" s="6"/>
    </row>
    <row r="77" spans="1:11" x14ac:dyDescent="0.25">
      <c r="F77" s="6"/>
    </row>
  </sheetData>
  <mergeCells count="10">
    <mergeCell ref="I52:K52"/>
    <mergeCell ref="A2:K2"/>
    <mergeCell ref="A3:K3"/>
    <mergeCell ref="B7:G7"/>
    <mergeCell ref="A1:K1"/>
    <mergeCell ref="A4:K4"/>
    <mergeCell ref="H5:I5"/>
    <mergeCell ref="J5:K5"/>
    <mergeCell ref="B5:G5"/>
    <mergeCell ref="I51:K51"/>
  </mergeCells>
  <printOptions horizontalCentered="1"/>
  <pageMargins left="0.19685039370078741" right="0.19685039370078741" top="0.19685039370078741" bottom="0.19685039370078741" header="0" footer="0"/>
  <pageSetup paperSize="9" scale="74" orientation="portrait" horizontalDpi="300" verticalDpi="300" r:id="rId1"/>
  <rowBreaks count="1" manualBreakCount="1">
    <brk id="6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zoomScaleNormal="100" zoomScaleSheetLayoutView="100" workbookViewId="0">
      <selection activeCell="N8" sqref="N8"/>
    </sheetView>
  </sheetViews>
  <sheetFormatPr defaultColWidth="9.33203125" defaultRowHeight="13.8" x14ac:dyDescent="0.25"/>
  <cols>
    <col min="1" max="1" width="3.44140625" style="261" customWidth="1"/>
    <col min="2" max="2" width="14.33203125" style="261" customWidth="1"/>
    <col min="3" max="4" width="9.33203125" style="261"/>
    <col min="5" max="5" width="13.5546875" style="261" customWidth="1"/>
    <col min="6" max="6" width="9.44140625" style="261" customWidth="1"/>
    <col min="7" max="7" width="14.6640625" style="261" bestFit="1" customWidth="1"/>
    <col min="8" max="8" width="15.5546875" style="261" customWidth="1"/>
    <col min="9" max="9" width="14.6640625" style="261" customWidth="1"/>
    <col min="10" max="10" width="14.6640625" style="261" bestFit="1" customWidth="1"/>
    <col min="11" max="11" width="15.5546875" style="261" customWidth="1"/>
    <col min="12" max="12" width="15.5546875" style="261" bestFit="1" customWidth="1"/>
    <col min="13" max="13" width="9.33203125" style="261"/>
    <col min="14" max="14" width="12.6640625" style="261" bestFit="1" customWidth="1"/>
    <col min="15" max="15" width="9.44140625" style="261" bestFit="1" customWidth="1"/>
    <col min="16" max="16384" width="9.33203125" style="261"/>
  </cols>
  <sheetData>
    <row r="1" spans="1:12" ht="22.8" x14ac:dyDescent="0.4">
      <c r="A1" s="751" t="s">
        <v>270</v>
      </c>
      <c r="B1" s="751"/>
      <c r="C1" s="751"/>
      <c r="D1" s="751"/>
      <c r="E1" s="751"/>
      <c r="F1" s="751"/>
      <c r="G1" s="751"/>
      <c r="H1" s="751"/>
      <c r="I1" s="751"/>
      <c r="J1" s="751"/>
      <c r="K1" s="751"/>
      <c r="L1" s="751"/>
    </row>
    <row r="2" spans="1:12" ht="15" x14ac:dyDescent="0.25">
      <c r="A2" s="722" t="s">
        <v>1039</v>
      </c>
      <c r="B2" s="722"/>
      <c r="C2" s="722"/>
      <c r="D2" s="722"/>
      <c r="E2" s="722"/>
      <c r="F2" s="722"/>
      <c r="G2" s="722"/>
      <c r="H2" s="722"/>
      <c r="I2" s="722"/>
      <c r="J2" s="722"/>
      <c r="K2" s="722"/>
      <c r="L2" s="722"/>
    </row>
    <row r="3" spans="1:12" x14ac:dyDescent="0.25">
      <c r="A3" s="300"/>
      <c r="B3" s="300"/>
      <c r="C3" s="300"/>
      <c r="D3" s="300"/>
      <c r="E3" s="300"/>
      <c r="F3" s="300"/>
      <c r="G3" s="300"/>
      <c r="H3" s="300"/>
      <c r="I3" s="300"/>
      <c r="J3" s="300"/>
      <c r="K3" s="300"/>
      <c r="L3" s="300"/>
    </row>
    <row r="4" spans="1:12" ht="15" x14ac:dyDescent="0.25">
      <c r="A4" s="300" t="s">
        <v>155</v>
      </c>
      <c r="B4" s="355" t="s">
        <v>156</v>
      </c>
      <c r="C4" s="300"/>
      <c r="D4" s="300"/>
      <c r="E4" s="300"/>
      <c r="F4" s="300"/>
      <c r="G4" s="300"/>
      <c r="H4" s="300"/>
      <c r="I4" s="300"/>
      <c r="J4" s="300"/>
      <c r="K4" s="300"/>
      <c r="L4" s="300"/>
    </row>
    <row r="5" spans="1:12" ht="23.25" customHeight="1" x14ac:dyDescent="0.25">
      <c r="A5" s="300"/>
      <c r="B5" s="752" t="s">
        <v>153</v>
      </c>
      <c r="C5" s="753"/>
      <c r="D5" s="753"/>
      <c r="E5" s="753"/>
      <c r="F5" s="753"/>
      <c r="G5" s="753"/>
      <c r="H5" s="753"/>
      <c r="I5" s="753"/>
      <c r="J5" s="753"/>
      <c r="K5" s="754"/>
      <c r="L5" s="368" t="s">
        <v>632</v>
      </c>
    </row>
    <row r="6" spans="1:12" x14ac:dyDescent="0.25">
      <c r="A6" s="300"/>
      <c r="B6" s="369" t="s">
        <v>705</v>
      </c>
      <c r="C6" s="300"/>
      <c r="D6" s="300"/>
      <c r="E6" s="300"/>
      <c r="F6" s="300"/>
      <c r="G6" s="300"/>
      <c r="H6" s="300"/>
      <c r="I6" s="300"/>
      <c r="J6" s="300"/>
      <c r="K6" s="370"/>
      <c r="L6" s="116">
        <f>+'bs Notes'!L208</f>
        <v>37501000</v>
      </c>
    </row>
    <row r="7" spans="1:12" x14ac:dyDescent="0.25">
      <c r="A7" s="300"/>
      <c r="B7" s="369" t="s">
        <v>898</v>
      </c>
      <c r="C7" s="300"/>
      <c r="D7" s="300"/>
      <c r="E7" s="300"/>
      <c r="F7" s="300"/>
      <c r="G7" s="300"/>
      <c r="H7" s="300"/>
      <c r="I7" s="300"/>
      <c r="J7" s="300"/>
      <c r="K7" s="370"/>
      <c r="L7" s="116">
        <v>37501000</v>
      </c>
    </row>
    <row r="8" spans="1:12" x14ac:dyDescent="0.25">
      <c r="A8" s="300"/>
      <c r="B8" s="371" t="s">
        <v>876</v>
      </c>
      <c r="C8" s="372"/>
      <c r="D8" s="372"/>
      <c r="E8" s="372"/>
      <c r="F8" s="372"/>
      <c r="G8" s="372"/>
      <c r="H8" s="372"/>
      <c r="I8" s="372"/>
      <c r="J8" s="372"/>
      <c r="K8" s="373"/>
      <c r="L8" s="374">
        <f>+'bs Notes'!L210</f>
        <v>75002000</v>
      </c>
    </row>
    <row r="9" spans="1:12" x14ac:dyDescent="0.25">
      <c r="A9" s="300"/>
      <c r="B9" s="300"/>
      <c r="C9" s="300"/>
      <c r="D9" s="300"/>
      <c r="E9" s="300"/>
      <c r="F9" s="300"/>
      <c r="G9" s="300"/>
      <c r="H9" s="300"/>
      <c r="I9" s="300"/>
      <c r="J9" s="300"/>
      <c r="K9" s="300"/>
      <c r="L9" s="300"/>
    </row>
    <row r="10" spans="1:12" x14ac:dyDescent="0.25">
      <c r="A10" s="300"/>
      <c r="B10" s="300"/>
      <c r="C10" s="300"/>
      <c r="D10" s="300"/>
      <c r="E10" s="300"/>
      <c r="F10" s="300"/>
      <c r="G10" s="300"/>
      <c r="H10" s="300"/>
      <c r="I10" s="300"/>
      <c r="J10" s="300"/>
      <c r="K10" s="300"/>
      <c r="L10" s="300"/>
    </row>
    <row r="11" spans="1:12" ht="15" x14ac:dyDescent="0.25">
      <c r="A11" s="300" t="s">
        <v>167</v>
      </c>
      <c r="B11" s="355" t="s">
        <v>877</v>
      </c>
      <c r="C11" s="300"/>
      <c r="D11" s="300"/>
      <c r="E11" s="300"/>
      <c r="F11" s="300"/>
      <c r="G11" s="300"/>
      <c r="H11" s="300"/>
      <c r="I11" s="300"/>
      <c r="J11" s="300"/>
      <c r="K11" s="300"/>
      <c r="L11" s="300"/>
    </row>
    <row r="12" spans="1:12" ht="18.75" customHeight="1" x14ac:dyDescent="0.25">
      <c r="A12" s="300"/>
      <c r="B12" s="755" t="s">
        <v>0</v>
      </c>
      <c r="C12" s="755"/>
      <c r="D12" s="755"/>
      <c r="E12" s="755"/>
      <c r="F12" s="755"/>
      <c r="G12" s="757" t="s">
        <v>158</v>
      </c>
      <c r="H12" s="758"/>
      <c r="I12" s="758"/>
      <c r="J12" s="759"/>
      <c r="K12" s="756" t="s">
        <v>159</v>
      </c>
      <c r="L12" s="756" t="s">
        <v>633</v>
      </c>
    </row>
    <row r="13" spans="1:12" ht="30" x14ac:dyDescent="0.25">
      <c r="A13" s="300"/>
      <c r="B13" s="755"/>
      <c r="C13" s="755"/>
      <c r="D13" s="755"/>
      <c r="E13" s="755"/>
      <c r="F13" s="755"/>
      <c r="G13" s="375" t="s">
        <v>427</v>
      </c>
      <c r="H13" s="375" t="s">
        <v>425</v>
      </c>
      <c r="I13" s="375" t="s">
        <v>302</v>
      </c>
      <c r="J13" s="375" t="s">
        <v>157</v>
      </c>
      <c r="K13" s="756"/>
      <c r="L13" s="756"/>
    </row>
    <row r="14" spans="1:12" x14ac:dyDescent="0.25">
      <c r="A14" s="300"/>
      <c r="B14" s="376" t="s">
        <v>160</v>
      </c>
      <c r="C14" s="377"/>
      <c r="D14" s="377"/>
      <c r="E14" s="377"/>
      <c r="F14" s="378"/>
      <c r="G14" s="148">
        <f>+G36</f>
        <v>14100400</v>
      </c>
      <c r="H14" s="148">
        <f>+H36</f>
        <v>5482521</v>
      </c>
      <c r="I14" s="148">
        <f>+I36</f>
        <v>567475</v>
      </c>
      <c r="J14" s="148">
        <f>'bs Notes'!M234</f>
        <v>28277028.809713051</v>
      </c>
      <c r="K14" s="148">
        <f>+K36</f>
        <v>0</v>
      </c>
      <c r="L14" s="148">
        <f>SUM(G14:K14)</f>
        <v>48427424.809713051</v>
      </c>
    </row>
    <row r="15" spans="1:12" x14ac:dyDescent="0.25">
      <c r="A15" s="300"/>
      <c r="B15" s="369" t="s">
        <v>161</v>
      </c>
      <c r="C15" s="300"/>
      <c r="D15" s="300"/>
      <c r="E15" s="300"/>
      <c r="F15" s="370"/>
      <c r="G15" s="116">
        <v>0</v>
      </c>
      <c r="H15" s="116">
        <v>0</v>
      </c>
      <c r="I15" s="116">
        <v>0</v>
      </c>
      <c r="J15" s="116">
        <v>0</v>
      </c>
      <c r="K15" s="116">
        <v>0</v>
      </c>
      <c r="L15" s="116">
        <v>0</v>
      </c>
    </row>
    <row r="16" spans="1:12" x14ac:dyDescent="0.25">
      <c r="A16" s="300"/>
      <c r="B16" s="369" t="s">
        <v>162</v>
      </c>
      <c r="C16" s="300"/>
      <c r="D16" s="300"/>
      <c r="E16" s="300"/>
      <c r="F16" s="370"/>
      <c r="G16" s="116">
        <f t="shared" ref="G16:L16" si="0">SUM(G14:G15)</f>
        <v>14100400</v>
      </c>
      <c r="H16" s="116">
        <f t="shared" si="0"/>
        <v>5482521</v>
      </c>
      <c r="I16" s="116">
        <f t="shared" si="0"/>
        <v>567475</v>
      </c>
      <c r="J16" s="116">
        <f t="shared" si="0"/>
        <v>28277028.809713051</v>
      </c>
      <c r="K16" s="116">
        <f t="shared" si="0"/>
        <v>0</v>
      </c>
      <c r="L16" s="116">
        <f t="shared" si="0"/>
        <v>48427424.809713051</v>
      </c>
    </row>
    <row r="17" spans="1:15" x14ac:dyDescent="0.25">
      <c r="A17" s="300"/>
      <c r="B17" s="369" t="s">
        <v>163</v>
      </c>
      <c r="C17" s="300"/>
      <c r="D17" s="300"/>
      <c r="E17" s="300"/>
      <c r="F17" s="370"/>
      <c r="G17" s="116">
        <v>0</v>
      </c>
      <c r="H17" s="116">
        <v>0</v>
      </c>
      <c r="I17" s="116">
        <v>0</v>
      </c>
      <c r="J17" s="116">
        <f>'bs Notes'!L260</f>
        <v>1254392.7376620662</v>
      </c>
      <c r="K17" s="116">
        <f>+'[9]bs Notes'!L303</f>
        <v>0</v>
      </c>
      <c r="L17" s="116">
        <f>SUM(G17:K17)</f>
        <v>1254392.7376620662</v>
      </c>
    </row>
    <row r="18" spans="1:15" x14ac:dyDescent="0.25">
      <c r="A18" s="300"/>
      <c r="B18" s="369" t="s">
        <v>456</v>
      </c>
      <c r="C18" s="300"/>
      <c r="D18" s="300"/>
      <c r="E18" s="300"/>
      <c r="F18" s="370"/>
      <c r="G18" s="116">
        <v>0</v>
      </c>
      <c r="H18" s="116">
        <v>0</v>
      </c>
      <c r="I18" s="116">
        <v>0</v>
      </c>
      <c r="J18" s="116">
        <v>0</v>
      </c>
      <c r="K18" s="116">
        <v>0</v>
      </c>
      <c r="L18" s="116">
        <f>SUM(G18:K18)</f>
        <v>0</v>
      </c>
    </row>
    <row r="19" spans="1:15" x14ac:dyDescent="0.25">
      <c r="A19" s="300"/>
      <c r="B19" s="369" t="s">
        <v>909</v>
      </c>
      <c r="C19" s="300"/>
      <c r="D19" s="300"/>
      <c r="E19" s="300"/>
      <c r="F19" s="370"/>
      <c r="G19" s="116">
        <f>-14100000-400</f>
        <v>-14100400</v>
      </c>
      <c r="H19" s="116"/>
      <c r="I19" s="116"/>
      <c r="J19" s="149">
        <f>+'bs Notes'!L258+400</f>
        <v>-23400200</v>
      </c>
      <c r="K19" s="116"/>
      <c r="L19" s="116">
        <f>+G19+J19</f>
        <v>-37500600</v>
      </c>
    </row>
    <row r="20" spans="1:15" x14ac:dyDescent="0.25">
      <c r="A20" s="300"/>
      <c r="B20" s="369" t="s">
        <v>910</v>
      </c>
      <c r="C20" s="300"/>
      <c r="D20" s="300"/>
      <c r="E20" s="300"/>
      <c r="F20" s="370"/>
      <c r="G20" s="116"/>
      <c r="H20" s="116"/>
      <c r="I20" s="116"/>
      <c r="J20" s="149">
        <f>-trial!B87</f>
        <v>-3000080</v>
      </c>
      <c r="K20" s="116"/>
      <c r="L20" s="116">
        <f>+J20</f>
        <v>-3000080</v>
      </c>
    </row>
    <row r="21" spans="1:15" x14ac:dyDescent="0.25">
      <c r="A21" s="300"/>
      <c r="B21" s="369" t="s">
        <v>164</v>
      </c>
      <c r="C21" s="300"/>
      <c r="D21" s="300"/>
      <c r="E21" s="300"/>
      <c r="F21" s="370"/>
      <c r="G21" s="116">
        <v>0</v>
      </c>
      <c r="H21" s="116">
        <v>0</v>
      </c>
      <c r="I21" s="116">
        <v>0</v>
      </c>
      <c r="J21" s="116">
        <v>0</v>
      </c>
      <c r="K21" s="116">
        <f>+'[9]bs Notes'!L304</f>
        <v>0</v>
      </c>
      <c r="L21" s="116">
        <f>SUM(G21:K21)</f>
        <v>0</v>
      </c>
    </row>
    <row r="22" spans="1:15" x14ac:dyDescent="0.25">
      <c r="A22" s="300"/>
      <c r="B22" s="369" t="s">
        <v>165</v>
      </c>
      <c r="C22" s="300"/>
      <c r="D22" s="300"/>
      <c r="E22" s="300"/>
      <c r="F22" s="370"/>
      <c r="G22" s="116">
        <v>0</v>
      </c>
      <c r="H22" s="116">
        <f>+'bs Notes'!L245</f>
        <v>250878.54753241327</v>
      </c>
      <c r="I22" s="116">
        <v>0</v>
      </c>
      <c r="J22" s="116">
        <f>+'bs Notes'!L261</f>
        <v>-250878.54753241327</v>
      </c>
      <c r="K22" s="116">
        <v>0</v>
      </c>
      <c r="L22" s="116">
        <f>SUM(G22:K22)</f>
        <v>0</v>
      </c>
      <c r="O22" s="277"/>
    </row>
    <row r="23" spans="1:15" x14ac:dyDescent="0.25">
      <c r="A23" s="300"/>
      <c r="B23" s="379" t="s">
        <v>166</v>
      </c>
      <c r="C23" s="380"/>
      <c r="D23" s="380"/>
      <c r="E23" s="380"/>
      <c r="F23" s="381"/>
      <c r="G23" s="150">
        <f>SUM(G16:G22)</f>
        <v>0</v>
      </c>
      <c r="H23" s="150">
        <f>SUM(H16:H22)</f>
        <v>5733399.5475324132</v>
      </c>
      <c r="I23" s="150">
        <f>SUM(I16:I22)</f>
        <v>567475</v>
      </c>
      <c r="J23" s="150">
        <f>SUM(J16:J22)</f>
        <v>2880262.9998427033</v>
      </c>
      <c r="K23" s="150">
        <f>SUM(K16:K22)</f>
        <v>0</v>
      </c>
      <c r="L23" s="150">
        <f>SUM(G23:K23)-1</f>
        <v>9181136.5473751165</v>
      </c>
      <c r="N23" s="277"/>
    </row>
    <row r="24" spans="1:15" x14ac:dyDescent="0.25">
      <c r="A24" s="300"/>
      <c r="B24" s="300"/>
      <c r="C24" s="300"/>
      <c r="D24" s="300"/>
      <c r="E24" s="300"/>
      <c r="F24" s="300"/>
      <c r="G24" s="300"/>
      <c r="H24" s="300"/>
      <c r="I24" s="300"/>
      <c r="J24" s="300"/>
      <c r="K24" s="300"/>
      <c r="L24" s="300"/>
      <c r="N24" s="277"/>
    </row>
    <row r="25" spans="1:15" x14ac:dyDescent="0.25">
      <c r="A25" s="300"/>
      <c r="B25" s="300"/>
      <c r="C25" s="300"/>
      <c r="D25" s="300"/>
      <c r="E25" s="300"/>
      <c r="F25" s="300"/>
      <c r="G25" s="300"/>
      <c r="H25" s="300"/>
      <c r="I25" s="300"/>
      <c r="J25" s="300"/>
      <c r="K25" s="300"/>
      <c r="L25" s="300"/>
    </row>
    <row r="26" spans="1:15" ht="15" x14ac:dyDescent="0.25">
      <c r="A26" s="300" t="s">
        <v>169</v>
      </c>
      <c r="B26" s="355" t="s">
        <v>848</v>
      </c>
      <c r="C26" s="300"/>
      <c r="D26" s="300"/>
      <c r="E26" s="300"/>
      <c r="F26" s="300"/>
      <c r="G26" s="300"/>
      <c r="H26" s="300"/>
      <c r="I26" s="300"/>
      <c r="J26" s="300"/>
      <c r="K26" s="300"/>
      <c r="L26" s="300"/>
    </row>
    <row r="27" spans="1:15" ht="15" customHeight="1" x14ac:dyDescent="0.25">
      <c r="A27" s="300"/>
      <c r="B27" s="755" t="s">
        <v>0</v>
      </c>
      <c r="C27" s="755"/>
      <c r="D27" s="755"/>
      <c r="E27" s="755"/>
      <c r="F27" s="755"/>
      <c r="G27" s="757" t="s">
        <v>158</v>
      </c>
      <c r="H27" s="758"/>
      <c r="I27" s="758"/>
      <c r="J27" s="759"/>
      <c r="K27" s="756" t="s">
        <v>159</v>
      </c>
      <c r="L27" s="756" t="s">
        <v>168</v>
      </c>
    </row>
    <row r="28" spans="1:15" ht="30" x14ac:dyDescent="0.25">
      <c r="A28" s="300"/>
      <c r="B28" s="755"/>
      <c r="C28" s="755"/>
      <c r="D28" s="755"/>
      <c r="E28" s="755"/>
      <c r="F28" s="755"/>
      <c r="G28" s="375" t="s">
        <v>427</v>
      </c>
      <c r="H28" s="375" t="s">
        <v>425</v>
      </c>
      <c r="I28" s="375" t="s">
        <v>302</v>
      </c>
      <c r="J28" s="375" t="s">
        <v>157</v>
      </c>
      <c r="K28" s="756"/>
      <c r="L28" s="756"/>
    </row>
    <row r="29" spans="1:15" x14ac:dyDescent="0.25">
      <c r="A29" s="300"/>
      <c r="B29" s="376" t="s">
        <v>160</v>
      </c>
      <c r="C29" s="377"/>
      <c r="D29" s="377"/>
      <c r="E29" s="377"/>
      <c r="F29" s="378"/>
      <c r="G29" s="148">
        <v>14100400</v>
      </c>
      <c r="H29" s="148">
        <v>4186881</v>
      </c>
      <c r="I29" s="148">
        <v>567475</v>
      </c>
      <c r="J29" s="148">
        <v>23094468</v>
      </c>
      <c r="K29" s="148">
        <v>0</v>
      </c>
      <c r="L29" s="148">
        <v>41949224</v>
      </c>
    </row>
    <row r="30" spans="1:15" x14ac:dyDescent="0.25">
      <c r="A30" s="300"/>
      <c r="B30" s="369" t="s">
        <v>161</v>
      </c>
      <c r="C30" s="300"/>
      <c r="D30" s="300"/>
      <c r="E30" s="300"/>
      <c r="F30" s="370"/>
      <c r="G30" s="116" t="s">
        <v>846</v>
      </c>
      <c r="H30" s="116" t="s">
        <v>847</v>
      </c>
      <c r="I30" s="116" t="s">
        <v>846</v>
      </c>
      <c r="J30" s="116" t="s">
        <v>846</v>
      </c>
      <c r="K30" s="116" t="s">
        <v>847</v>
      </c>
      <c r="L30" s="116" t="s">
        <v>847</v>
      </c>
    </row>
    <row r="31" spans="1:15" x14ac:dyDescent="0.25">
      <c r="A31" s="300"/>
      <c r="B31" s="369" t="s">
        <v>162</v>
      </c>
      <c r="C31" s="300"/>
      <c r="D31" s="300"/>
      <c r="E31" s="300"/>
      <c r="F31" s="370"/>
      <c r="G31" s="116">
        <v>14100400</v>
      </c>
      <c r="H31" s="116">
        <v>4186881</v>
      </c>
      <c r="I31" s="116">
        <v>567475</v>
      </c>
      <c r="J31" s="116">
        <v>23094468</v>
      </c>
      <c r="K31" s="116">
        <v>0</v>
      </c>
      <c r="L31" s="116">
        <v>41949224</v>
      </c>
    </row>
    <row r="32" spans="1:15" x14ac:dyDescent="0.25">
      <c r="A32" s="300"/>
      <c r="B32" s="369" t="s">
        <v>163</v>
      </c>
      <c r="C32" s="300"/>
      <c r="D32" s="300"/>
      <c r="E32" s="300"/>
      <c r="F32" s="370"/>
      <c r="G32" s="116" t="s">
        <v>846</v>
      </c>
      <c r="H32" s="116" t="s">
        <v>847</v>
      </c>
      <c r="I32" s="116" t="s">
        <v>846</v>
      </c>
      <c r="J32" s="116">
        <v>6478200</v>
      </c>
      <c r="K32" s="116" t="s">
        <v>847</v>
      </c>
      <c r="L32" s="116">
        <v>6478200</v>
      </c>
    </row>
    <row r="33" spans="1:12" x14ac:dyDescent="0.25">
      <c r="A33" s="300"/>
      <c r="B33" s="369" t="s">
        <v>456</v>
      </c>
      <c r="C33" s="300"/>
      <c r="D33" s="300"/>
      <c r="E33" s="300"/>
      <c r="F33" s="370"/>
      <c r="G33" s="116" t="s">
        <v>846</v>
      </c>
      <c r="H33" s="116" t="s">
        <v>847</v>
      </c>
      <c r="I33" s="116" t="s">
        <v>846</v>
      </c>
      <c r="J33" s="116" t="s">
        <v>846</v>
      </c>
      <c r="K33" s="116" t="s">
        <v>847</v>
      </c>
      <c r="L33" s="116" t="s">
        <v>847</v>
      </c>
    </row>
    <row r="34" spans="1:12" x14ac:dyDescent="0.25">
      <c r="A34" s="300"/>
      <c r="B34" s="369" t="s">
        <v>164</v>
      </c>
      <c r="C34" s="300"/>
      <c r="D34" s="300"/>
      <c r="E34" s="300"/>
      <c r="F34" s="370"/>
      <c r="G34" s="116" t="s">
        <v>846</v>
      </c>
      <c r="H34" s="116" t="s">
        <v>847</v>
      </c>
      <c r="I34" s="116" t="s">
        <v>846</v>
      </c>
      <c r="J34" s="116" t="s">
        <v>846</v>
      </c>
      <c r="K34" s="116" t="s">
        <v>847</v>
      </c>
      <c r="L34" s="116" t="s">
        <v>847</v>
      </c>
    </row>
    <row r="35" spans="1:12" x14ac:dyDescent="0.25">
      <c r="A35" s="300"/>
      <c r="B35" s="369" t="s">
        <v>165</v>
      </c>
      <c r="C35" s="300"/>
      <c r="D35" s="300"/>
      <c r="E35" s="300"/>
      <c r="F35" s="370"/>
      <c r="G35" s="116" t="s">
        <v>846</v>
      </c>
      <c r="H35" s="116">
        <v>1295640</v>
      </c>
      <c r="I35" s="116" t="s">
        <v>846</v>
      </c>
      <c r="J35" s="116">
        <v>-1295640</v>
      </c>
      <c r="K35" s="116" t="s">
        <v>847</v>
      </c>
      <c r="L35" s="116" t="s">
        <v>847</v>
      </c>
    </row>
    <row r="36" spans="1:12" x14ac:dyDescent="0.25">
      <c r="A36" s="300"/>
      <c r="B36" s="379" t="s">
        <v>166</v>
      </c>
      <c r="C36" s="380"/>
      <c r="D36" s="380"/>
      <c r="E36" s="380"/>
      <c r="F36" s="381"/>
      <c r="G36" s="150">
        <v>14100400</v>
      </c>
      <c r="H36" s="150">
        <v>5482521</v>
      </c>
      <c r="I36" s="150">
        <v>567475</v>
      </c>
      <c r="J36" s="150">
        <v>28277028</v>
      </c>
      <c r="K36" s="150">
        <v>0</v>
      </c>
      <c r="L36" s="150">
        <v>48427424</v>
      </c>
    </row>
    <row r="37" spans="1:12" x14ac:dyDescent="0.25">
      <c r="A37" s="300"/>
      <c r="B37" s="300"/>
      <c r="C37" s="300"/>
      <c r="D37" s="300"/>
      <c r="E37" s="300"/>
      <c r="F37" s="300"/>
      <c r="G37" s="300"/>
      <c r="H37" s="300"/>
      <c r="I37" s="300"/>
      <c r="J37" s="300"/>
      <c r="K37" s="300"/>
      <c r="L37" s="300"/>
    </row>
    <row r="38" spans="1:12" x14ac:dyDescent="0.25">
      <c r="A38" s="300"/>
      <c r="B38" s="300"/>
      <c r="C38" s="300"/>
      <c r="D38" s="300"/>
      <c r="E38" s="300"/>
      <c r="F38" s="300"/>
      <c r="G38" s="300"/>
      <c r="H38" s="300"/>
      <c r="I38" s="300"/>
      <c r="J38" s="300"/>
      <c r="K38" s="300"/>
      <c r="L38" s="300"/>
    </row>
    <row r="39" spans="1:12" x14ac:dyDescent="0.25">
      <c r="A39" s="300"/>
      <c r="B39" s="300"/>
      <c r="C39" s="300"/>
      <c r="D39" s="300"/>
      <c r="E39" s="300"/>
      <c r="F39" s="300"/>
      <c r="G39" s="300"/>
      <c r="H39" s="300"/>
      <c r="I39" s="300"/>
      <c r="J39" s="300"/>
      <c r="K39" s="300"/>
      <c r="L39" s="301"/>
    </row>
    <row r="40" spans="1:12" x14ac:dyDescent="0.25">
      <c r="A40" s="300"/>
      <c r="B40" s="300"/>
      <c r="C40" s="300"/>
      <c r="D40" s="300"/>
      <c r="E40" s="300"/>
      <c r="F40" s="300"/>
      <c r="G40" s="300"/>
      <c r="H40" s="300"/>
      <c r="I40" s="300"/>
      <c r="J40" s="300"/>
      <c r="K40" s="300"/>
      <c r="L40" s="300"/>
    </row>
  </sheetData>
  <mergeCells count="11">
    <mergeCell ref="A1:L1"/>
    <mergeCell ref="B5:K5"/>
    <mergeCell ref="B27:F28"/>
    <mergeCell ref="K27:K28"/>
    <mergeCell ref="L27:L28"/>
    <mergeCell ref="K12:K13"/>
    <mergeCell ref="G12:J12"/>
    <mergeCell ref="B12:F13"/>
    <mergeCell ref="L12:L13"/>
    <mergeCell ref="G27:J27"/>
    <mergeCell ref="A2:L2"/>
  </mergeCells>
  <printOptions horizontalCentered="1"/>
  <pageMargins left="0.19685039370078741" right="0.19685039370078741" top="0.19685039370078741" bottom="0.19685039370078741" header="0" footer="0"/>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9"/>
  <sheetViews>
    <sheetView topLeftCell="A117" zoomScaleNormal="100" zoomScaleSheetLayoutView="100" workbookViewId="0">
      <selection activeCell="P118" sqref="P118"/>
    </sheetView>
  </sheetViews>
  <sheetFormatPr defaultColWidth="9.33203125" defaultRowHeight="13.8" x14ac:dyDescent="0.3"/>
  <cols>
    <col min="1" max="1" width="2.5546875" style="382" customWidth="1"/>
    <col min="2" max="2" width="6.33203125" style="382" customWidth="1"/>
    <col min="3" max="4" width="9.33203125" style="382"/>
    <col min="5" max="5" width="13.33203125" style="382" customWidth="1"/>
    <col min="6" max="12" width="9.33203125" style="382"/>
    <col min="13" max="13" width="13.5546875" style="382" customWidth="1"/>
    <col min="14" max="14" width="15.44140625" style="382" customWidth="1"/>
    <col min="15" max="16384" width="9.33203125" style="382"/>
  </cols>
  <sheetData>
    <row r="1" spans="1:17" ht="22.8" x14ac:dyDescent="0.3">
      <c r="A1" s="760" t="s">
        <v>270</v>
      </c>
      <c r="B1" s="760"/>
      <c r="C1" s="760"/>
      <c r="D1" s="760"/>
      <c r="E1" s="760"/>
      <c r="F1" s="760"/>
      <c r="G1" s="760"/>
      <c r="H1" s="760"/>
      <c r="I1" s="760"/>
      <c r="J1" s="760"/>
      <c r="K1" s="760"/>
      <c r="L1" s="760"/>
      <c r="M1" s="760"/>
      <c r="N1" s="760"/>
    </row>
    <row r="2" spans="1:17" ht="15" x14ac:dyDescent="0.3">
      <c r="A2" s="761" t="s">
        <v>88</v>
      </c>
      <c r="B2" s="761"/>
      <c r="C2" s="761"/>
      <c r="D2" s="761"/>
      <c r="E2" s="761"/>
      <c r="F2" s="761"/>
      <c r="G2" s="761"/>
      <c r="H2" s="761"/>
      <c r="I2" s="761"/>
      <c r="J2" s="761"/>
      <c r="K2" s="761"/>
      <c r="L2" s="761"/>
      <c r="M2" s="761"/>
      <c r="N2" s="761"/>
    </row>
    <row r="3" spans="1:17" x14ac:dyDescent="0.3">
      <c r="A3" s="383"/>
      <c r="B3" s="383"/>
      <c r="C3" s="383"/>
      <c r="D3" s="383"/>
      <c r="E3" s="383"/>
      <c r="F3" s="383"/>
      <c r="G3" s="383"/>
      <c r="H3" s="383"/>
      <c r="I3" s="383"/>
      <c r="J3" s="383"/>
      <c r="K3" s="383"/>
      <c r="L3" s="383"/>
      <c r="M3" s="383"/>
      <c r="N3" s="383"/>
    </row>
    <row r="4" spans="1:17" x14ac:dyDescent="0.3">
      <c r="A4" s="384" t="s">
        <v>89</v>
      </c>
      <c r="B4" s="385" t="s">
        <v>90</v>
      </c>
      <c r="C4" s="383"/>
      <c r="D4" s="383"/>
      <c r="E4" s="383"/>
      <c r="F4" s="383"/>
      <c r="G4" s="383"/>
      <c r="H4" s="383"/>
      <c r="I4" s="383"/>
      <c r="J4" s="383"/>
      <c r="K4" s="383"/>
      <c r="L4" s="383"/>
      <c r="M4" s="383"/>
      <c r="N4" s="383"/>
    </row>
    <row r="5" spans="1:17" ht="30" customHeight="1" x14ac:dyDescent="0.3">
      <c r="A5" s="383"/>
      <c r="B5" s="383"/>
      <c r="C5" s="762" t="s">
        <v>976</v>
      </c>
      <c r="D5" s="762"/>
      <c r="E5" s="762"/>
      <c r="F5" s="762"/>
      <c r="G5" s="762"/>
      <c r="H5" s="762"/>
      <c r="I5" s="762"/>
      <c r="J5" s="762"/>
      <c r="K5" s="762"/>
      <c r="L5" s="762"/>
      <c r="M5" s="762"/>
      <c r="N5" s="762"/>
      <c r="P5" s="386"/>
      <c r="Q5" s="386"/>
    </row>
    <row r="6" spans="1:17" ht="31.5" customHeight="1" x14ac:dyDescent="0.3">
      <c r="A6" s="383"/>
      <c r="B6" s="383"/>
      <c r="C6" s="762" t="s">
        <v>453</v>
      </c>
      <c r="D6" s="762"/>
      <c r="E6" s="762"/>
      <c r="F6" s="762"/>
      <c r="G6" s="762"/>
      <c r="H6" s="762"/>
      <c r="I6" s="762"/>
      <c r="J6" s="762"/>
      <c r="K6" s="762"/>
      <c r="L6" s="762"/>
      <c r="M6" s="762"/>
      <c r="N6" s="762"/>
      <c r="P6" s="386"/>
      <c r="Q6" s="386"/>
    </row>
    <row r="7" spans="1:17" ht="36" customHeight="1" x14ac:dyDescent="0.3">
      <c r="A7" s="383"/>
      <c r="B7" s="383"/>
      <c r="C7" s="768" t="s">
        <v>631</v>
      </c>
      <c r="D7" s="768"/>
      <c r="E7" s="768"/>
      <c r="F7" s="768"/>
      <c r="G7" s="768"/>
      <c r="H7" s="768"/>
      <c r="I7" s="768"/>
      <c r="J7" s="768"/>
      <c r="K7" s="768"/>
      <c r="L7" s="768"/>
      <c r="M7" s="768"/>
      <c r="N7" s="768"/>
      <c r="P7" s="386"/>
      <c r="Q7" s="386"/>
    </row>
    <row r="8" spans="1:17" x14ac:dyDescent="0.3">
      <c r="A8" s="384" t="s">
        <v>91</v>
      </c>
      <c r="B8" s="385" t="s">
        <v>92</v>
      </c>
      <c r="C8" s="383"/>
      <c r="D8" s="383"/>
      <c r="E8" s="383"/>
      <c r="F8" s="383"/>
      <c r="G8" s="383"/>
      <c r="H8" s="383"/>
      <c r="I8" s="383"/>
      <c r="J8" s="383"/>
      <c r="K8" s="383"/>
      <c r="L8" s="383"/>
      <c r="M8" s="383"/>
      <c r="N8" s="383"/>
    </row>
    <row r="9" spans="1:17" x14ac:dyDescent="0.3">
      <c r="A9" s="383"/>
      <c r="B9" s="383" t="s">
        <v>93</v>
      </c>
      <c r="C9" s="770" t="s">
        <v>977</v>
      </c>
      <c r="D9" s="770"/>
      <c r="E9" s="770"/>
      <c r="F9" s="770"/>
      <c r="G9" s="770"/>
      <c r="H9" s="770"/>
      <c r="I9" s="770"/>
      <c r="J9" s="770"/>
      <c r="K9" s="770"/>
      <c r="L9" s="770"/>
      <c r="M9" s="770"/>
      <c r="N9" s="770"/>
    </row>
    <row r="10" spans="1:17" x14ac:dyDescent="0.3">
      <c r="A10" s="383"/>
      <c r="B10" s="383"/>
      <c r="C10" s="770"/>
      <c r="D10" s="770"/>
      <c r="E10" s="770"/>
      <c r="F10" s="770"/>
      <c r="G10" s="770"/>
      <c r="H10" s="770"/>
      <c r="I10" s="770"/>
      <c r="J10" s="770"/>
      <c r="K10" s="770"/>
      <c r="L10" s="770"/>
      <c r="M10" s="770"/>
      <c r="N10" s="770"/>
    </row>
    <row r="11" spans="1:17" x14ac:dyDescent="0.3">
      <c r="A11" s="383"/>
      <c r="B11" s="383"/>
      <c r="C11" s="770"/>
      <c r="D11" s="770"/>
      <c r="E11" s="770"/>
      <c r="F11" s="770"/>
      <c r="G11" s="770"/>
      <c r="H11" s="770"/>
      <c r="I11" s="770"/>
      <c r="J11" s="770"/>
      <c r="K11" s="770"/>
      <c r="L11" s="770"/>
      <c r="M11" s="770"/>
      <c r="N11" s="770"/>
    </row>
    <row r="12" spans="1:17" x14ac:dyDescent="0.3">
      <c r="A12" s="383"/>
      <c r="B12" s="383"/>
      <c r="C12" s="770"/>
      <c r="D12" s="770"/>
      <c r="E12" s="770"/>
      <c r="F12" s="770"/>
      <c r="G12" s="770"/>
      <c r="H12" s="770"/>
      <c r="I12" s="770"/>
      <c r="J12" s="770"/>
      <c r="K12" s="770"/>
      <c r="L12" s="770"/>
      <c r="M12" s="770"/>
      <c r="N12" s="770"/>
    </row>
    <row r="13" spans="1:17" x14ac:dyDescent="0.3">
      <c r="A13" s="383"/>
      <c r="B13" s="383"/>
      <c r="C13" s="770"/>
      <c r="D13" s="770"/>
      <c r="E13" s="770"/>
      <c r="F13" s="770"/>
      <c r="G13" s="770"/>
      <c r="H13" s="770"/>
      <c r="I13" s="770"/>
      <c r="J13" s="770"/>
      <c r="K13" s="770"/>
      <c r="L13" s="770"/>
      <c r="M13" s="770"/>
      <c r="N13" s="770"/>
    </row>
    <row r="14" spans="1:17" x14ac:dyDescent="0.3">
      <c r="A14" s="383"/>
      <c r="B14" s="383"/>
      <c r="C14" s="770"/>
      <c r="D14" s="770"/>
      <c r="E14" s="770"/>
      <c r="F14" s="770"/>
      <c r="G14" s="770"/>
      <c r="H14" s="770"/>
      <c r="I14" s="770"/>
      <c r="J14" s="770"/>
      <c r="K14" s="770"/>
      <c r="L14" s="770"/>
      <c r="M14" s="770"/>
      <c r="N14" s="770"/>
    </row>
    <row r="15" spans="1:17" x14ac:dyDescent="0.3">
      <c r="A15" s="383"/>
      <c r="B15" s="383"/>
      <c r="C15" s="770"/>
      <c r="D15" s="770"/>
      <c r="E15" s="770"/>
      <c r="F15" s="770"/>
      <c r="G15" s="770"/>
      <c r="H15" s="770"/>
      <c r="I15" s="770"/>
      <c r="J15" s="770"/>
      <c r="K15" s="770"/>
      <c r="L15" s="770"/>
      <c r="M15" s="770"/>
      <c r="N15" s="770"/>
    </row>
    <row r="16" spans="1:17" x14ac:dyDescent="0.3">
      <c r="A16" s="383"/>
      <c r="B16" s="383"/>
      <c r="C16" s="383"/>
      <c r="D16" s="383"/>
      <c r="E16" s="383"/>
      <c r="F16" s="383"/>
      <c r="G16" s="383"/>
      <c r="H16" s="383"/>
      <c r="I16" s="383"/>
      <c r="J16" s="383"/>
      <c r="K16" s="383"/>
      <c r="L16" s="383"/>
      <c r="M16" s="383"/>
      <c r="N16" s="383"/>
    </row>
    <row r="17" spans="1:14" x14ac:dyDescent="0.3">
      <c r="A17" s="383"/>
      <c r="B17" s="383" t="s">
        <v>94</v>
      </c>
      <c r="C17" s="762" t="s">
        <v>978</v>
      </c>
      <c r="D17" s="762"/>
      <c r="E17" s="762"/>
      <c r="F17" s="762"/>
      <c r="G17" s="762"/>
      <c r="H17" s="762"/>
      <c r="I17" s="762"/>
      <c r="J17" s="762"/>
      <c r="K17" s="762"/>
      <c r="L17" s="762"/>
      <c r="M17" s="762"/>
      <c r="N17" s="762"/>
    </row>
    <row r="18" spans="1:14" x14ac:dyDescent="0.3">
      <c r="A18" s="383"/>
      <c r="B18" s="383"/>
      <c r="C18" s="762"/>
      <c r="D18" s="762"/>
      <c r="E18" s="762"/>
      <c r="F18" s="762"/>
      <c r="G18" s="762"/>
      <c r="H18" s="762"/>
      <c r="I18" s="762"/>
      <c r="J18" s="762"/>
      <c r="K18" s="762"/>
      <c r="L18" s="762"/>
      <c r="M18" s="762"/>
      <c r="N18" s="762"/>
    </row>
    <row r="19" spans="1:14" x14ac:dyDescent="0.3">
      <c r="A19" s="383"/>
      <c r="B19" s="383"/>
      <c r="C19" s="762"/>
      <c r="D19" s="762"/>
      <c r="E19" s="762"/>
      <c r="F19" s="762"/>
      <c r="G19" s="762"/>
      <c r="H19" s="762"/>
      <c r="I19" s="762"/>
      <c r="J19" s="762"/>
      <c r="K19" s="762"/>
      <c r="L19" s="762"/>
      <c r="M19" s="762"/>
      <c r="N19" s="762"/>
    </row>
    <row r="20" spans="1:14" x14ac:dyDescent="0.3">
      <c r="A20" s="383"/>
      <c r="B20" s="383"/>
      <c r="C20" s="762"/>
      <c r="D20" s="762"/>
      <c r="E20" s="762"/>
      <c r="F20" s="762"/>
      <c r="G20" s="762"/>
      <c r="H20" s="762"/>
      <c r="I20" s="762"/>
      <c r="J20" s="762"/>
      <c r="K20" s="762"/>
      <c r="L20" s="762"/>
      <c r="M20" s="762"/>
      <c r="N20" s="762"/>
    </row>
    <row r="21" spans="1:14" x14ac:dyDescent="0.3">
      <c r="A21" s="383"/>
      <c r="B21" s="383"/>
      <c r="C21" s="383"/>
      <c r="D21" s="383"/>
      <c r="E21" s="383"/>
      <c r="F21" s="383"/>
      <c r="G21" s="383"/>
      <c r="H21" s="383"/>
      <c r="I21" s="383"/>
      <c r="J21" s="383"/>
      <c r="K21" s="383"/>
      <c r="L21" s="383"/>
      <c r="M21" s="383"/>
      <c r="N21" s="383"/>
    </row>
    <row r="22" spans="1:14" x14ac:dyDescent="0.3">
      <c r="A22" s="383"/>
      <c r="B22" s="383" t="s">
        <v>96</v>
      </c>
      <c r="C22" s="385" t="s">
        <v>95</v>
      </c>
      <c r="D22" s="383"/>
      <c r="E22" s="383"/>
      <c r="F22" s="383"/>
      <c r="G22" s="383"/>
      <c r="H22" s="383"/>
      <c r="I22" s="383"/>
      <c r="J22" s="383"/>
      <c r="K22" s="383"/>
      <c r="L22" s="383"/>
      <c r="M22" s="383"/>
      <c r="N22" s="383"/>
    </row>
    <row r="23" spans="1:14" x14ac:dyDescent="0.3">
      <c r="A23" s="383"/>
      <c r="B23" s="383"/>
      <c r="C23" s="762" t="s">
        <v>97</v>
      </c>
      <c r="D23" s="762"/>
      <c r="E23" s="762"/>
      <c r="F23" s="762"/>
      <c r="G23" s="762"/>
      <c r="H23" s="762"/>
      <c r="I23" s="762"/>
      <c r="J23" s="762"/>
      <c r="K23" s="762"/>
      <c r="L23" s="762"/>
      <c r="M23" s="762"/>
      <c r="N23" s="762"/>
    </row>
    <row r="24" spans="1:14" x14ac:dyDescent="0.3">
      <c r="A24" s="383"/>
      <c r="B24" s="383"/>
      <c r="C24" s="762"/>
      <c r="D24" s="762"/>
      <c r="E24" s="762"/>
      <c r="F24" s="762"/>
      <c r="G24" s="762"/>
      <c r="H24" s="762"/>
      <c r="I24" s="762"/>
      <c r="J24" s="762"/>
      <c r="K24" s="762"/>
      <c r="L24" s="762"/>
      <c r="M24" s="762"/>
      <c r="N24" s="762"/>
    </row>
    <row r="25" spans="1:14" x14ac:dyDescent="0.3">
      <c r="A25" s="383"/>
      <c r="B25" s="383"/>
      <c r="C25" s="762"/>
      <c r="D25" s="762"/>
      <c r="E25" s="762"/>
      <c r="F25" s="762"/>
      <c r="G25" s="762"/>
      <c r="H25" s="762"/>
      <c r="I25" s="762"/>
      <c r="J25" s="762"/>
      <c r="K25" s="762"/>
      <c r="L25" s="762"/>
      <c r="M25" s="762"/>
      <c r="N25" s="762"/>
    </row>
    <row r="26" spans="1:14" x14ac:dyDescent="0.3">
      <c r="A26" s="383"/>
      <c r="B26" s="383"/>
      <c r="C26" s="762"/>
      <c r="D26" s="762"/>
      <c r="E26" s="762"/>
      <c r="F26" s="762"/>
      <c r="G26" s="762"/>
      <c r="H26" s="762"/>
      <c r="I26" s="762"/>
      <c r="J26" s="762"/>
      <c r="K26" s="762"/>
      <c r="L26" s="762"/>
      <c r="M26" s="762"/>
      <c r="N26" s="762"/>
    </row>
    <row r="27" spans="1:14" x14ac:dyDescent="0.3">
      <c r="A27" s="383"/>
      <c r="B27" s="383"/>
      <c r="C27" s="383"/>
      <c r="D27" s="383"/>
      <c r="E27" s="383"/>
      <c r="F27" s="383"/>
      <c r="G27" s="383"/>
      <c r="H27" s="383"/>
      <c r="I27" s="383"/>
      <c r="J27" s="383"/>
      <c r="K27" s="383"/>
      <c r="L27" s="383"/>
      <c r="M27" s="383"/>
      <c r="N27" s="383"/>
    </row>
    <row r="28" spans="1:14" ht="15" customHeight="1" x14ac:dyDescent="0.3">
      <c r="A28" s="383"/>
      <c r="B28" s="383"/>
      <c r="C28" s="762" t="s">
        <v>979</v>
      </c>
      <c r="D28" s="762"/>
      <c r="E28" s="762"/>
      <c r="F28" s="762"/>
      <c r="G28" s="762"/>
      <c r="H28" s="762"/>
      <c r="I28" s="762"/>
      <c r="J28" s="762"/>
      <c r="K28" s="762"/>
      <c r="L28" s="762"/>
      <c r="M28" s="762"/>
      <c r="N28" s="762"/>
    </row>
    <row r="29" spans="1:14" x14ac:dyDescent="0.3">
      <c r="A29" s="383"/>
      <c r="B29" s="383"/>
      <c r="C29" s="762"/>
      <c r="D29" s="762"/>
      <c r="E29" s="762"/>
      <c r="F29" s="762"/>
      <c r="G29" s="762"/>
      <c r="H29" s="762"/>
      <c r="I29" s="762"/>
      <c r="J29" s="762"/>
      <c r="K29" s="762"/>
      <c r="L29" s="762"/>
      <c r="M29" s="762"/>
      <c r="N29" s="762"/>
    </row>
    <row r="30" spans="1:14" x14ac:dyDescent="0.3">
      <c r="A30" s="383"/>
      <c r="B30" s="383"/>
      <c r="C30" s="762"/>
      <c r="D30" s="762"/>
      <c r="E30" s="762"/>
      <c r="F30" s="762"/>
      <c r="G30" s="762"/>
      <c r="H30" s="762"/>
      <c r="I30" s="762"/>
      <c r="J30" s="762"/>
      <c r="K30" s="762"/>
      <c r="L30" s="762"/>
      <c r="M30" s="762"/>
      <c r="N30" s="762"/>
    </row>
    <row r="31" spans="1:14" x14ac:dyDescent="0.3">
      <c r="A31" s="383"/>
      <c r="B31" s="383"/>
      <c r="C31" s="762"/>
      <c r="D31" s="762"/>
      <c r="E31" s="762"/>
      <c r="F31" s="762"/>
      <c r="G31" s="762"/>
      <c r="H31" s="762"/>
      <c r="I31" s="762"/>
      <c r="J31" s="762"/>
      <c r="K31" s="762"/>
      <c r="L31" s="762"/>
      <c r="M31" s="762"/>
      <c r="N31" s="762"/>
    </row>
    <row r="32" spans="1:14" x14ac:dyDescent="0.3">
      <c r="A32" s="383"/>
      <c r="B32" s="383"/>
      <c r="C32" s="387"/>
      <c r="D32" s="387"/>
      <c r="E32" s="387"/>
      <c r="F32" s="387"/>
      <c r="G32" s="387"/>
      <c r="H32" s="387"/>
      <c r="I32" s="387"/>
      <c r="J32" s="387"/>
      <c r="K32" s="387"/>
      <c r="L32" s="387"/>
      <c r="M32" s="387"/>
      <c r="N32" s="387"/>
    </row>
    <row r="33" spans="1:14" x14ac:dyDescent="0.3">
      <c r="A33" s="383"/>
      <c r="B33" s="383"/>
      <c r="C33" s="763" t="s">
        <v>98</v>
      </c>
      <c r="D33" s="763"/>
      <c r="E33" s="763"/>
      <c r="F33" s="763"/>
      <c r="G33" s="763"/>
      <c r="H33" s="763"/>
      <c r="I33" s="763" t="s">
        <v>99</v>
      </c>
      <c r="J33" s="763"/>
      <c r="K33" s="763"/>
      <c r="L33" s="763"/>
      <c r="M33" s="763"/>
      <c r="N33" s="763"/>
    </row>
    <row r="34" spans="1:14" x14ac:dyDescent="0.3">
      <c r="A34" s="383"/>
      <c r="B34" s="383"/>
      <c r="C34" s="764" t="s">
        <v>100</v>
      </c>
      <c r="D34" s="764"/>
      <c r="E34" s="764"/>
      <c r="F34" s="764"/>
      <c r="G34" s="764"/>
      <c r="H34" s="764"/>
      <c r="I34" s="764" t="s">
        <v>101</v>
      </c>
      <c r="J34" s="764"/>
      <c r="K34" s="764"/>
      <c r="L34" s="764"/>
      <c r="M34" s="764"/>
      <c r="N34" s="764"/>
    </row>
    <row r="35" spans="1:14" ht="15" customHeight="1" x14ac:dyDescent="0.3">
      <c r="A35" s="383"/>
      <c r="B35" s="383"/>
      <c r="C35" s="765" t="s">
        <v>102</v>
      </c>
      <c r="D35" s="766"/>
      <c r="E35" s="766"/>
      <c r="F35" s="766"/>
      <c r="G35" s="766"/>
      <c r="H35" s="767"/>
      <c r="I35" s="765" t="s">
        <v>103</v>
      </c>
      <c r="J35" s="766"/>
      <c r="K35" s="766"/>
      <c r="L35" s="766"/>
      <c r="M35" s="766"/>
      <c r="N35" s="767"/>
    </row>
    <row r="36" spans="1:14" x14ac:dyDescent="0.3">
      <c r="A36" s="383"/>
      <c r="B36" s="383"/>
      <c r="C36" s="387"/>
      <c r="D36" s="387"/>
      <c r="E36" s="387"/>
      <c r="F36" s="387"/>
      <c r="G36" s="387"/>
      <c r="H36" s="387"/>
      <c r="I36" s="387"/>
      <c r="J36" s="387"/>
      <c r="K36" s="387"/>
      <c r="L36" s="387"/>
      <c r="M36" s="387"/>
      <c r="N36" s="387"/>
    </row>
    <row r="37" spans="1:14" ht="15" customHeight="1" x14ac:dyDescent="0.3">
      <c r="A37" s="383"/>
      <c r="B37" s="383"/>
      <c r="C37" s="762" t="s">
        <v>467</v>
      </c>
      <c r="D37" s="762"/>
      <c r="E37" s="762"/>
      <c r="F37" s="762"/>
      <c r="G37" s="762"/>
      <c r="H37" s="762"/>
      <c r="I37" s="762"/>
      <c r="J37" s="762"/>
      <c r="K37" s="762"/>
      <c r="L37" s="762"/>
      <c r="M37" s="762"/>
      <c r="N37" s="762"/>
    </row>
    <row r="38" spans="1:14" x14ac:dyDescent="0.3">
      <c r="A38" s="383"/>
      <c r="B38" s="383"/>
      <c r="C38" s="762"/>
      <c r="D38" s="762"/>
      <c r="E38" s="762"/>
      <c r="F38" s="762"/>
      <c r="G38" s="762"/>
      <c r="H38" s="762"/>
      <c r="I38" s="762"/>
      <c r="J38" s="762"/>
      <c r="K38" s="762"/>
      <c r="L38" s="762"/>
      <c r="M38" s="762"/>
      <c r="N38" s="762"/>
    </row>
    <row r="39" spans="1:14" x14ac:dyDescent="0.3">
      <c r="A39" s="383"/>
      <c r="B39" s="383"/>
      <c r="C39" s="762"/>
      <c r="D39" s="762"/>
      <c r="E39" s="762"/>
      <c r="F39" s="762"/>
      <c r="G39" s="762"/>
      <c r="H39" s="762"/>
      <c r="I39" s="762"/>
      <c r="J39" s="762"/>
      <c r="K39" s="762"/>
      <c r="L39" s="762"/>
      <c r="M39" s="762"/>
      <c r="N39" s="762"/>
    </row>
    <row r="40" spans="1:14" x14ac:dyDescent="0.3">
      <c r="A40" s="383"/>
      <c r="B40" s="383"/>
      <c r="C40" s="762"/>
      <c r="D40" s="762"/>
      <c r="E40" s="762"/>
      <c r="F40" s="762"/>
      <c r="G40" s="762"/>
      <c r="H40" s="762"/>
      <c r="I40" s="762"/>
      <c r="J40" s="762"/>
      <c r="K40" s="762"/>
      <c r="L40" s="762"/>
      <c r="M40" s="762"/>
      <c r="N40" s="762"/>
    </row>
    <row r="41" spans="1:14" x14ac:dyDescent="0.3">
      <c r="A41" s="383"/>
      <c r="B41" s="383"/>
      <c r="C41" s="762"/>
      <c r="D41" s="762"/>
      <c r="E41" s="762"/>
      <c r="F41" s="762"/>
      <c r="G41" s="762"/>
      <c r="H41" s="762"/>
      <c r="I41" s="762"/>
      <c r="J41" s="762"/>
      <c r="K41" s="762"/>
      <c r="L41" s="762"/>
      <c r="M41" s="762"/>
      <c r="N41" s="762"/>
    </row>
    <row r="42" spans="1:14" x14ac:dyDescent="0.3">
      <c r="A42" s="383"/>
      <c r="B42" s="383"/>
      <c r="C42" s="762"/>
      <c r="D42" s="762"/>
      <c r="E42" s="762"/>
      <c r="F42" s="762"/>
      <c r="G42" s="762"/>
      <c r="H42" s="762"/>
      <c r="I42" s="762"/>
      <c r="J42" s="762"/>
      <c r="K42" s="762"/>
      <c r="L42" s="762"/>
      <c r="M42" s="762"/>
      <c r="N42" s="762"/>
    </row>
    <row r="43" spans="1:14" x14ac:dyDescent="0.3">
      <c r="A43" s="383"/>
      <c r="B43" s="383"/>
      <c r="C43" s="762"/>
      <c r="D43" s="762"/>
      <c r="E43" s="762"/>
      <c r="F43" s="762"/>
      <c r="G43" s="762"/>
      <c r="H43" s="762"/>
      <c r="I43" s="762"/>
      <c r="J43" s="762"/>
      <c r="K43" s="762"/>
      <c r="L43" s="762"/>
      <c r="M43" s="762"/>
      <c r="N43" s="762"/>
    </row>
    <row r="44" spans="1:14" x14ac:dyDescent="0.3">
      <c r="A44" s="383"/>
      <c r="B44" s="383"/>
      <c r="C44" s="762"/>
      <c r="D44" s="762"/>
      <c r="E44" s="762"/>
      <c r="F44" s="762"/>
      <c r="G44" s="762"/>
      <c r="H44" s="762"/>
      <c r="I44" s="762"/>
      <c r="J44" s="762"/>
      <c r="K44" s="762"/>
      <c r="L44" s="762"/>
      <c r="M44" s="762"/>
      <c r="N44" s="762"/>
    </row>
    <row r="45" spans="1:14" x14ac:dyDescent="0.3">
      <c r="A45" s="383"/>
      <c r="B45" s="383"/>
      <c r="C45" s="762"/>
      <c r="D45" s="762"/>
      <c r="E45" s="762"/>
      <c r="F45" s="762"/>
      <c r="G45" s="762"/>
      <c r="H45" s="762"/>
      <c r="I45" s="762"/>
      <c r="J45" s="762"/>
      <c r="K45" s="762"/>
      <c r="L45" s="762"/>
      <c r="M45" s="762"/>
      <c r="N45" s="762"/>
    </row>
    <row r="46" spans="1:14" x14ac:dyDescent="0.3">
      <c r="A46" s="383"/>
      <c r="B46" s="383"/>
      <c r="C46" s="762"/>
      <c r="D46" s="762"/>
      <c r="E46" s="762"/>
      <c r="F46" s="762"/>
      <c r="G46" s="762"/>
      <c r="H46" s="762"/>
      <c r="I46" s="762"/>
      <c r="J46" s="762"/>
      <c r="K46" s="762"/>
      <c r="L46" s="762"/>
      <c r="M46" s="762"/>
      <c r="N46" s="762"/>
    </row>
    <row r="47" spans="1:14" x14ac:dyDescent="0.3">
      <c r="A47" s="383"/>
      <c r="B47" s="383"/>
      <c r="C47" s="762"/>
      <c r="D47" s="762"/>
      <c r="E47" s="762"/>
      <c r="F47" s="762"/>
      <c r="G47" s="762"/>
      <c r="H47" s="762"/>
      <c r="I47" s="762"/>
      <c r="J47" s="762"/>
      <c r="K47" s="762"/>
      <c r="L47" s="762"/>
      <c r="M47" s="762"/>
      <c r="N47" s="762"/>
    </row>
    <row r="48" spans="1:14" x14ac:dyDescent="0.3">
      <c r="A48" s="383"/>
      <c r="B48" s="383" t="s">
        <v>104</v>
      </c>
      <c r="C48" s="385" t="s">
        <v>105</v>
      </c>
      <c r="D48" s="383"/>
      <c r="E48" s="383"/>
      <c r="F48" s="383"/>
      <c r="G48" s="383"/>
      <c r="H48" s="383"/>
      <c r="I48" s="383"/>
      <c r="J48" s="383"/>
      <c r="K48" s="383"/>
      <c r="L48" s="383"/>
      <c r="M48" s="383"/>
      <c r="N48" s="383"/>
    </row>
    <row r="49" spans="1:14" x14ac:dyDescent="0.3">
      <c r="A49" s="383"/>
      <c r="B49" s="383"/>
      <c r="C49" s="762" t="s">
        <v>106</v>
      </c>
      <c r="D49" s="762"/>
      <c r="E49" s="762"/>
      <c r="F49" s="762"/>
      <c r="G49" s="762"/>
      <c r="H49" s="762"/>
      <c r="I49" s="762"/>
      <c r="J49" s="762"/>
      <c r="K49" s="762"/>
      <c r="L49" s="762"/>
      <c r="M49" s="762"/>
      <c r="N49" s="762"/>
    </row>
    <row r="50" spans="1:14" x14ac:dyDescent="0.3">
      <c r="A50" s="383"/>
      <c r="B50" s="383"/>
      <c r="C50" s="762"/>
      <c r="D50" s="762"/>
      <c r="E50" s="762"/>
      <c r="F50" s="762"/>
      <c r="G50" s="762"/>
      <c r="H50" s="762"/>
      <c r="I50" s="762"/>
      <c r="J50" s="762"/>
      <c r="K50" s="762"/>
      <c r="L50" s="762"/>
      <c r="M50" s="762"/>
      <c r="N50" s="762"/>
    </row>
    <row r="51" spans="1:14" x14ac:dyDescent="0.3">
      <c r="A51" s="383"/>
      <c r="B51" s="383"/>
      <c r="C51" s="762"/>
      <c r="D51" s="762"/>
      <c r="E51" s="762"/>
      <c r="F51" s="762"/>
      <c r="G51" s="762"/>
      <c r="H51" s="762"/>
      <c r="I51" s="762"/>
      <c r="J51" s="762"/>
      <c r="K51" s="762"/>
      <c r="L51" s="762"/>
      <c r="M51" s="762"/>
      <c r="N51" s="762"/>
    </row>
    <row r="52" spans="1:14" x14ac:dyDescent="0.3">
      <c r="A52" s="383"/>
      <c r="B52" s="383"/>
      <c r="C52" s="762"/>
      <c r="D52" s="762"/>
      <c r="E52" s="762"/>
      <c r="F52" s="762"/>
      <c r="G52" s="762"/>
      <c r="H52" s="762"/>
      <c r="I52" s="762"/>
      <c r="J52" s="762"/>
      <c r="K52" s="762"/>
      <c r="L52" s="762"/>
      <c r="M52" s="762"/>
      <c r="N52" s="762"/>
    </row>
    <row r="53" spans="1:14" x14ac:dyDescent="0.3">
      <c r="A53" s="383"/>
      <c r="B53" s="383"/>
      <c r="C53" s="762"/>
      <c r="D53" s="762"/>
      <c r="E53" s="762"/>
      <c r="F53" s="762"/>
      <c r="G53" s="762"/>
      <c r="H53" s="762"/>
      <c r="I53" s="762"/>
      <c r="J53" s="762"/>
      <c r="K53" s="762"/>
      <c r="L53" s="762"/>
      <c r="M53" s="762"/>
      <c r="N53" s="762"/>
    </row>
    <row r="54" spans="1:14" x14ac:dyDescent="0.3">
      <c r="A54" s="383"/>
      <c r="B54" s="383"/>
      <c r="C54" s="762"/>
      <c r="D54" s="762"/>
      <c r="E54" s="762"/>
      <c r="F54" s="762"/>
      <c r="G54" s="762"/>
      <c r="H54" s="762"/>
      <c r="I54" s="762"/>
      <c r="J54" s="762"/>
      <c r="K54" s="762"/>
      <c r="L54" s="762"/>
      <c r="M54" s="762"/>
      <c r="N54" s="762"/>
    </row>
    <row r="55" spans="1:14" ht="33" customHeight="1" x14ac:dyDescent="0.3">
      <c r="A55" s="383"/>
      <c r="B55" s="383"/>
      <c r="C55" s="762"/>
      <c r="D55" s="762"/>
      <c r="E55" s="762"/>
      <c r="F55" s="762"/>
      <c r="G55" s="762"/>
      <c r="H55" s="762"/>
      <c r="I55" s="762"/>
      <c r="J55" s="762"/>
      <c r="K55" s="762"/>
      <c r="L55" s="762"/>
      <c r="M55" s="762"/>
      <c r="N55" s="762"/>
    </row>
    <row r="56" spans="1:14" x14ac:dyDescent="0.3">
      <c r="A56" s="383"/>
      <c r="B56" s="383"/>
      <c r="C56" s="383" t="s">
        <v>1065</v>
      </c>
      <c r="D56" s="383"/>
      <c r="E56" s="383"/>
      <c r="F56" s="383"/>
      <c r="G56" s="383"/>
      <c r="H56" s="383"/>
      <c r="I56" s="383"/>
      <c r="J56" s="383"/>
      <c r="K56" s="383"/>
      <c r="L56" s="383"/>
      <c r="M56" s="383"/>
      <c r="N56" s="383"/>
    </row>
    <row r="57" spans="1:14" x14ac:dyDescent="0.3">
      <c r="A57" s="383"/>
      <c r="B57" s="383"/>
      <c r="C57" s="762" t="s">
        <v>980</v>
      </c>
      <c r="D57" s="762"/>
      <c r="E57" s="762"/>
      <c r="F57" s="762"/>
      <c r="G57" s="762"/>
      <c r="H57" s="762"/>
      <c r="I57" s="762"/>
      <c r="J57" s="762"/>
      <c r="K57" s="762"/>
      <c r="L57" s="762"/>
      <c r="M57" s="762"/>
      <c r="N57" s="762"/>
    </row>
    <row r="58" spans="1:14" x14ac:dyDescent="0.3">
      <c r="A58" s="383"/>
      <c r="B58" s="383"/>
      <c r="C58" s="762"/>
      <c r="D58" s="762"/>
      <c r="E58" s="762"/>
      <c r="F58" s="762"/>
      <c r="G58" s="762"/>
      <c r="H58" s="762"/>
      <c r="I58" s="762"/>
      <c r="J58" s="762"/>
      <c r="K58" s="762"/>
      <c r="L58" s="762"/>
      <c r="M58" s="762"/>
      <c r="N58" s="762"/>
    </row>
    <row r="59" spans="1:14" x14ac:dyDescent="0.3">
      <c r="A59" s="383"/>
      <c r="B59" s="383"/>
      <c r="C59" s="762"/>
      <c r="D59" s="762"/>
      <c r="E59" s="762"/>
      <c r="F59" s="762"/>
      <c r="G59" s="762"/>
      <c r="H59" s="762"/>
      <c r="I59" s="762"/>
      <c r="J59" s="762"/>
      <c r="K59" s="762"/>
      <c r="L59" s="762"/>
      <c r="M59" s="762"/>
      <c r="N59" s="762"/>
    </row>
    <row r="60" spans="1:14" x14ac:dyDescent="0.3">
      <c r="A60" s="383"/>
      <c r="B60" s="383"/>
      <c r="C60" s="762"/>
      <c r="D60" s="762"/>
      <c r="E60" s="762"/>
      <c r="F60" s="762"/>
      <c r="G60" s="762"/>
      <c r="H60" s="762"/>
      <c r="I60" s="762"/>
      <c r="J60" s="762"/>
      <c r="K60" s="762"/>
      <c r="L60" s="762"/>
      <c r="M60" s="762"/>
      <c r="N60" s="762"/>
    </row>
    <row r="61" spans="1:14" x14ac:dyDescent="0.3">
      <c r="A61" s="383"/>
      <c r="B61" s="383"/>
      <c r="C61" s="762"/>
      <c r="D61" s="762"/>
      <c r="E61" s="762"/>
      <c r="F61" s="762"/>
      <c r="G61" s="762"/>
      <c r="H61" s="762"/>
      <c r="I61" s="762"/>
      <c r="J61" s="762"/>
      <c r="K61" s="762"/>
      <c r="L61" s="762"/>
      <c r="M61" s="762"/>
      <c r="N61" s="762"/>
    </row>
    <row r="62" spans="1:14" x14ac:dyDescent="0.3">
      <c r="A62" s="383"/>
      <c r="B62" s="383"/>
      <c r="C62" s="383"/>
      <c r="D62" s="383"/>
      <c r="E62" s="383"/>
      <c r="F62" s="383"/>
      <c r="G62" s="383"/>
      <c r="H62" s="383"/>
      <c r="I62" s="383"/>
      <c r="J62" s="383"/>
      <c r="K62" s="383"/>
      <c r="L62" s="383"/>
      <c r="M62" s="383"/>
      <c r="N62" s="383"/>
    </row>
    <row r="63" spans="1:14" x14ac:dyDescent="0.3">
      <c r="A63" s="383"/>
      <c r="B63" s="383"/>
      <c r="C63" s="769" t="s">
        <v>981</v>
      </c>
      <c r="D63" s="762"/>
      <c r="E63" s="762"/>
      <c r="F63" s="762"/>
      <c r="G63" s="762"/>
      <c r="H63" s="762"/>
      <c r="I63" s="762"/>
      <c r="J63" s="762"/>
      <c r="K63" s="762"/>
      <c r="L63" s="762"/>
      <c r="M63" s="762"/>
      <c r="N63" s="762"/>
    </row>
    <row r="64" spans="1:14" x14ac:dyDescent="0.3">
      <c r="A64" s="383"/>
      <c r="B64" s="383"/>
      <c r="C64" s="762"/>
      <c r="D64" s="762"/>
      <c r="E64" s="762"/>
      <c r="F64" s="762"/>
      <c r="G64" s="762"/>
      <c r="H64" s="762"/>
      <c r="I64" s="762"/>
      <c r="J64" s="762"/>
      <c r="K64" s="762"/>
      <c r="L64" s="762"/>
      <c r="M64" s="762"/>
      <c r="N64" s="762"/>
    </row>
    <row r="65" spans="1:14" x14ac:dyDescent="0.3">
      <c r="A65" s="383"/>
      <c r="B65" s="383"/>
      <c r="C65" s="762"/>
      <c r="D65" s="762"/>
      <c r="E65" s="762"/>
      <c r="F65" s="762"/>
      <c r="G65" s="762"/>
      <c r="H65" s="762"/>
      <c r="I65" s="762"/>
      <c r="J65" s="762"/>
      <c r="K65" s="762"/>
      <c r="L65" s="762"/>
      <c r="M65" s="762"/>
      <c r="N65" s="762"/>
    </row>
    <row r="66" spans="1:14" x14ac:dyDescent="0.3">
      <c r="A66" s="383"/>
      <c r="B66" s="383"/>
      <c r="C66" s="762"/>
      <c r="D66" s="762"/>
      <c r="E66" s="762"/>
      <c r="F66" s="762"/>
      <c r="G66" s="762"/>
      <c r="H66" s="762"/>
      <c r="I66" s="762"/>
      <c r="J66" s="762"/>
      <c r="K66" s="762"/>
      <c r="L66" s="762"/>
      <c r="M66" s="762"/>
      <c r="N66" s="762"/>
    </row>
    <row r="67" spans="1:14" x14ac:dyDescent="0.3">
      <c r="A67" s="383"/>
      <c r="B67" s="383"/>
      <c r="C67" s="762"/>
      <c r="D67" s="762"/>
      <c r="E67" s="762"/>
      <c r="F67" s="762"/>
      <c r="G67" s="762"/>
      <c r="H67" s="762"/>
      <c r="I67" s="762"/>
      <c r="J67" s="762"/>
      <c r="K67" s="762"/>
      <c r="L67" s="762"/>
      <c r="M67" s="762"/>
      <c r="N67" s="762"/>
    </row>
    <row r="68" spans="1:14" x14ac:dyDescent="0.3">
      <c r="A68" s="383"/>
      <c r="B68" s="383"/>
      <c r="C68" s="762"/>
      <c r="D68" s="762"/>
      <c r="E68" s="762"/>
      <c r="F68" s="762"/>
      <c r="G68" s="762"/>
      <c r="H68" s="762"/>
      <c r="I68" s="762"/>
      <c r="J68" s="762"/>
      <c r="K68" s="762"/>
      <c r="L68" s="762"/>
      <c r="M68" s="762"/>
      <c r="N68" s="762"/>
    </row>
    <row r="69" spans="1:14" ht="15" hidden="1" customHeight="1" x14ac:dyDescent="0.3">
      <c r="A69" s="383"/>
      <c r="B69" s="383"/>
      <c r="C69" s="762"/>
      <c r="D69" s="762"/>
      <c r="E69" s="762"/>
      <c r="F69" s="762"/>
      <c r="G69" s="762"/>
      <c r="H69" s="762"/>
      <c r="I69" s="762"/>
      <c r="J69" s="762"/>
      <c r="K69" s="762"/>
      <c r="L69" s="762"/>
      <c r="M69" s="762"/>
      <c r="N69" s="762"/>
    </row>
    <row r="70" spans="1:14" x14ac:dyDescent="0.3">
      <c r="A70" s="383"/>
      <c r="B70" s="383"/>
      <c r="C70" s="383"/>
      <c r="D70" s="383"/>
      <c r="E70" s="383"/>
      <c r="F70" s="383"/>
      <c r="G70" s="383"/>
      <c r="H70" s="383"/>
      <c r="I70" s="383"/>
      <c r="J70" s="383"/>
      <c r="K70" s="383"/>
      <c r="L70" s="383"/>
      <c r="M70" s="383"/>
      <c r="N70" s="383"/>
    </row>
    <row r="71" spans="1:14" x14ac:dyDescent="0.3">
      <c r="A71" s="383"/>
      <c r="B71" s="383" t="s">
        <v>107</v>
      </c>
      <c r="C71" s="762" t="s">
        <v>982</v>
      </c>
      <c r="D71" s="762"/>
      <c r="E71" s="762"/>
      <c r="F71" s="762"/>
      <c r="G71" s="762"/>
      <c r="H71" s="762"/>
      <c r="I71" s="762"/>
      <c r="J71" s="762"/>
      <c r="K71" s="762"/>
      <c r="L71" s="762"/>
      <c r="M71" s="762"/>
      <c r="N71" s="762"/>
    </row>
    <row r="72" spans="1:14" x14ac:dyDescent="0.3">
      <c r="A72" s="383"/>
      <c r="B72" s="383"/>
      <c r="C72" s="762"/>
      <c r="D72" s="762"/>
      <c r="E72" s="762"/>
      <c r="F72" s="762"/>
      <c r="G72" s="762"/>
      <c r="H72" s="762"/>
      <c r="I72" s="762"/>
      <c r="J72" s="762"/>
      <c r="K72" s="762"/>
      <c r="L72" s="762"/>
      <c r="M72" s="762"/>
      <c r="N72" s="762"/>
    </row>
    <row r="73" spans="1:14" x14ac:dyDescent="0.3">
      <c r="A73" s="383"/>
      <c r="B73" s="383"/>
      <c r="C73" s="762"/>
      <c r="D73" s="762"/>
      <c r="E73" s="762"/>
      <c r="F73" s="762"/>
      <c r="G73" s="762"/>
      <c r="H73" s="762"/>
      <c r="I73" s="762"/>
      <c r="J73" s="762"/>
      <c r="K73" s="762"/>
      <c r="L73" s="762"/>
      <c r="M73" s="762"/>
      <c r="N73" s="762"/>
    </row>
    <row r="74" spans="1:14" x14ac:dyDescent="0.3">
      <c r="A74" s="383"/>
      <c r="B74" s="383"/>
      <c r="C74" s="762"/>
      <c r="D74" s="762"/>
      <c r="E74" s="762"/>
      <c r="F74" s="762"/>
      <c r="G74" s="762"/>
      <c r="H74" s="762"/>
      <c r="I74" s="762"/>
      <c r="J74" s="762"/>
      <c r="K74" s="762"/>
      <c r="L74" s="762"/>
      <c r="M74" s="762"/>
      <c r="N74" s="762"/>
    </row>
    <row r="75" spans="1:14" x14ac:dyDescent="0.3">
      <c r="A75" s="383"/>
      <c r="B75" s="383"/>
      <c r="C75" s="762"/>
      <c r="D75" s="762"/>
      <c r="E75" s="762"/>
      <c r="F75" s="762"/>
      <c r="G75" s="762"/>
      <c r="H75" s="762"/>
      <c r="I75" s="762"/>
      <c r="J75" s="762"/>
      <c r="K75" s="762"/>
      <c r="L75" s="762"/>
      <c r="M75" s="762"/>
      <c r="N75" s="762"/>
    </row>
    <row r="76" spans="1:14" x14ac:dyDescent="0.3">
      <c r="A76" s="383"/>
      <c r="B76" s="383"/>
      <c r="C76" s="762"/>
      <c r="D76" s="762"/>
      <c r="E76" s="762"/>
      <c r="F76" s="762"/>
      <c r="G76" s="762"/>
      <c r="H76" s="762"/>
      <c r="I76" s="762"/>
      <c r="J76" s="762"/>
      <c r="K76" s="762"/>
      <c r="L76" s="762"/>
      <c r="M76" s="762"/>
      <c r="N76" s="762"/>
    </row>
    <row r="77" spans="1:14" x14ac:dyDescent="0.3">
      <c r="A77" s="383"/>
      <c r="B77" s="383"/>
      <c r="C77" s="762"/>
      <c r="D77" s="762"/>
      <c r="E77" s="762"/>
      <c r="F77" s="762"/>
      <c r="G77" s="762"/>
      <c r="H77" s="762"/>
      <c r="I77" s="762"/>
      <c r="J77" s="762"/>
      <c r="K77" s="762"/>
      <c r="L77" s="762"/>
      <c r="M77" s="762"/>
      <c r="N77" s="762"/>
    </row>
    <row r="78" spans="1:14" x14ac:dyDescent="0.3">
      <c r="A78" s="383"/>
      <c r="B78" s="383"/>
      <c r="C78" s="762"/>
      <c r="D78" s="762"/>
      <c r="E78" s="762"/>
      <c r="F78" s="762"/>
      <c r="G78" s="762"/>
      <c r="H78" s="762"/>
      <c r="I78" s="762"/>
      <c r="J78" s="762"/>
      <c r="K78" s="762"/>
      <c r="L78" s="762"/>
      <c r="M78" s="762"/>
      <c r="N78" s="762"/>
    </row>
    <row r="79" spans="1:14" x14ac:dyDescent="0.3">
      <c r="A79" s="383"/>
      <c r="B79" s="383"/>
      <c r="C79" s="762"/>
      <c r="D79" s="762"/>
      <c r="E79" s="762"/>
      <c r="F79" s="762"/>
      <c r="G79" s="762"/>
      <c r="H79" s="762"/>
      <c r="I79" s="762"/>
      <c r="J79" s="762"/>
      <c r="K79" s="762"/>
      <c r="L79" s="762"/>
      <c r="M79" s="762"/>
      <c r="N79" s="762"/>
    </row>
    <row r="80" spans="1:14" x14ac:dyDescent="0.3">
      <c r="A80" s="383"/>
      <c r="B80" s="383"/>
      <c r="C80" s="762"/>
      <c r="D80" s="762"/>
      <c r="E80" s="762"/>
      <c r="F80" s="762"/>
      <c r="G80" s="762"/>
      <c r="H80" s="762"/>
      <c r="I80" s="762"/>
      <c r="J80" s="762"/>
      <c r="K80" s="762"/>
      <c r="L80" s="762"/>
      <c r="M80" s="762"/>
      <c r="N80" s="762"/>
    </row>
    <row r="81" spans="1:14" x14ac:dyDescent="0.3">
      <c r="A81" s="383"/>
      <c r="B81" s="383"/>
      <c r="C81" s="762"/>
      <c r="D81" s="762"/>
      <c r="E81" s="762"/>
      <c r="F81" s="762"/>
      <c r="G81" s="762"/>
      <c r="H81" s="762"/>
      <c r="I81" s="762"/>
      <c r="J81" s="762"/>
      <c r="K81" s="762"/>
      <c r="L81" s="762"/>
      <c r="M81" s="762"/>
      <c r="N81" s="762"/>
    </row>
    <row r="82" spans="1:14" x14ac:dyDescent="0.3">
      <c r="A82" s="383"/>
      <c r="B82" s="383"/>
      <c r="C82" s="762"/>
      <c r="D82" s="762"/>
      <c r="E82" s="762"/>
      <c r="F82" s="762"/>
      <c r="G82" s="762"/>
      <c r="H82" s="762"/>
      <c r="I82" s="762"/>
      <c r="J82" s="762"/>
      <c r="K82" s="762"/>
      <c r="L82" s="762"/>
      <c r="M82" s="762"/>
      <c r="N82" s="762"/>
    </row>
    <row r="83" spans="1:14" ht="38.25" customHeight="1" x14ac:dyDescent="0.3">
      <c r="A83" s="383"/>
      <c r="B83" s="383"/>
      <c r="C83" s="762"/>
      <c r="D83" s="762"/>
      <c r="E83" s="762"/>
      <c r="F83" s="762"/>
      <c r="G83" s="762"/>
      <c r="H83" s="762"/>
      <c r="I83" s="762"/>
      <c r="J83" s="762"/>
      <c r="K83" s="762"/>
      <c r="L83" s="762"/>
      <c r="M83" s="762"/>
      <c r="N83" s="762"/>
    </row>
    <row r="84" spans="1:14" ht="29.25" customHeight="1" x14ac:dyDescent="0.3">
      <c r="A84" s="383"/>
      <c r="B84" s="383"/>
      <c r="C84" s="762"/>
      <c r="D84" s="762"/>
      <c r="E84" s="762"/>
      <c r="F84" s="762"/>
      <c r="G84" s="762"/>
      <c r="H84" s="762"/>
      <c r="I84" s="762"/>
      <c r="J84" s="762"/>
      <c r="K84" s="762"/>
      <c r="L84" s="762"/>
      <c r="M84" s="762"/>
      <c r="N84" s="762"/>
    </row>
    <row r="85" spans="1:14" ht="67.5" customHeight="1" x14ac:dyDescent="0.3">
      <c r="A85" s="383"/>
      <c r="B85" s="383"/>
      <c r="C85" s="762"/>
      <c r="D85" s="762"/>
      <c r="E85" s="762"/>
      <c r="F85" s="762"/>
      <c r="G85" s="762"/>
      <c r="H85" s="762"/>
      <c r="I85" s="762"/>
      <c r="J85" s="762"/>
      <c r="K85" s="762"/>
      <c r="L85" s="762"/>
      <c r="M85" s="762"/>
      <c r="N85" s="762"/>
    </row>
    <row r="86" spans="1:14" ht="79.5" customHeight="1" x14ac:dyDescent="0.3">
      <c r="A86" s="383"/>
      <c r="B86" s="383"/>
      <c r="C86" s="762"/>
      <c r="D86" s="762"/>
      <c r="E86" s="762"/>
      <c r="F86" s="762"/>
      <c r="G86" s="762"/>
      <c r="H86" s="762"/>
      <c r="I86" s="762"/>
      <c r="J86" s="762"/>
      <c r="K86" s="762"/>
      <c r="L86" s="762"/>
      <c r="M86" s="762"/>
      <c r="N86" s="762"/>
    </row>
    <row r="87" spans="1:14" x14ac:dyDescent="0.3">
      <c r="A87" s="383"/>
      <c r="B87" s="383"/>
      <c r="C87" s="387"/>
      <c r="D87" s="387"/>
      <c r="E87" s="387"/>
      <c r="F87" s="387"/>
      <c r="G87" s="387"/>
      <c r="H87" s="387"/>
      <c r="I87" s="387"/>
      <c r="J87" s="387"/>
      <c r="K87" s="387"/>
      <c r="L87" s="387"/>
      <c r="M87" s="387"/>
      <c r="N87" s="387"/>
    </row>
    <row r="88" spans="1:14" x14ac:dyDescent="0.3">
      <c r="A88" s="383"/>
      <c r="B88" s="383" t="s">
        <v>108</v>
      </c>
      <c r="C88" s="762" t="s">
        <v>983</v>
      </c>
      <c r="D88" s="762"/>
      <c r="E88" s="762"/>
      <c r="F88" s="762"/>
      <c r="G88" s="762"/>
      <c r="H88" s="762"/>
      <c r="I88" s="762"/>
      <c r="J88" s="762"/>
      <c r="K88" s="762"/>
      <c r="L88" s="762"/>
      <c r="M88" s="762"/>
      <c r="N88" s="762"/>
    </row>
    <row r="89" spans="1:14" x14ac:dyDescent="0.3">
      <c r="A89" s="383"/>
      <c r="B89" s="383"/>
      <c r="C89" s="762"/>
      <c r="D89" s="762"/>
      <c r="E89" s="762"/>
      <c r="F89" s="762"/>
      <c r="G89" s="762"/>
      <c r="H89" s="762"/>
      <c r="I89" s="762"/>
      <c r="J89" s="762"/>
      <c r="K89" s="762"/>
      <c r="L89" s="762"/>
      <c r="M89" s="762"/>
      <c r="N89" s="762"/>
    </row>
    <row r="90" spans="1:14" ht="28.5" customHeight="1" x14ac:dyDescent="0.3">
      <c r="A90" s="383"/>
      <c r="B90" s="383"/>
      <c r="C90" s="762"/>
      <c r="D90" s="762"/>
      <c r="E90" s="762"/>
      <c r="F90" s="762"/>
      <c r="G90" s="762"/>
      <c r="H90" s="762"/>
      <c r="I90" s="762"/>
      <c r="J90" s="762"/>
      <c r="K90" s="762"/>
      <c r="L90" s="762"/>
      <c r="M90" s="762"/>
      <c r="N90" s="762"/>
    </row>
    <row r="91" spans="1:14" x14ac:dyDescent="0.3">
      <c r="A91" s="383"/>
      <c r="B91" s="383"/>
      <c r="C91" s="383"/>
      <c r="D91" s="383"/>
      <c r="E91" s="383"/>
      <c r="F91" s="383"/>
      <c r="G91" s="383"/>
      <c r="H91" s="383"/>
      <c r="I91" s="383"/>
      <c r="J91" s="383"/>
      <c r="K91" s="383"/>
      <c r="L91" s="383"/>
      <c r="M91" s="383"/>
      <c r="N91" s="383"/>
    </row>
    <row r="92" spans="1:14" x14ac:dyDescent="0.3">
      <c r="A92" s="383"/>
      <c r="B92" s="383" t="s">
        <v>109</v>
      </c>
      <c r="C92" s="770" t="s">
        <v>984</v>
      </c>
      <c r="D92" s="770"/>
      <c r="E92" s="770"/>
      <c r="F92" s="770"/>
      <c r="G92" s="770"/>
      <c r="H92" s="770"/>
      <c r="I92" s="770"/>
      <c r="J92" s="770"/>
      <c r="K92" s="770"/>
      <c r="L92" s="770"/>
      <c r="M92" s="770"/>
      <c r="N92" s="770"/>
    </row>
    <row r="93" spans="1:14" ht="168.75" customHeight="1" x14ac:dyDescent="0.3">
      <c r="A93" s="383"/>
      <c r="B93" s="383"/>
      <c r="C93" s="770"/>
      <c r="D93" s="770"/>
      <c r="E93" s="770"/>
      <c r="F93" s="770"/>
      <c r="G93" s="770"/>
      <c r="H93" s="770"/>
      <c r="I93" s="770"/>
      <c r="J93" s="770"/>
      <c r="K93" s="770"/>
      <c r="L93" s="770"/>
      <c r="M93" s="770"/>
      <c r="N93" s="770"/>
    </row>
    <row r="94" spans="1:14" ht="31.5" customHeight="1" x14ac:dyDescent="0.3">
      <c r="A94" s="383"/>
      <c r="B94" s="383"/>
      <c r="C94" s="770"/>
      <c r="D94" s="770"/>
      <c r="E94" s="770"/>
      <c r="F94" s="770"/>
      <c r="G94" s="770"/>
      <c r="H94" s="770"/>
      <c r="I94" s="770"/>
      <c r="J94" s="770"/>
      <c r="K94" s="770"/>
      <c r="L94" s="770"/>
      <c r="M94" s="770"/>
      <c r="N94" s="770"/>
    </row>
    <row r="95" spans="1:14" ht="33.75" customHeight="1" x14ac:dyDescent="0.3">
      <c r="A95" s="383"/>
      <c r="B95" s="383"/>
      <c r="C95" s="770"/>
      <c r="D95" s="770"/>
      <c r="E95" s="770"/>
      <c r="F95" s="770"/>
      <c r="G95" s="770"/>
      <c r="H95" s="770"/>
      <c r="I95" s="770"/>
      <c r="J95" s="770"/>
      <c r="K95" s="770"/>
      <c r="L95" s="770"/>
      <c r="M95" s="770"/>
      <c r="N95" s="770"/>
    </row>
    <row r="96" spans="1:14" ht="39" customHeight="1" x14ac:dyDescent="0.3">
      <c r="A96" s="383"/>
      <c r="B96" s="383"/>
      <c r="C96" s="770"/>
      <c r="D96" s="770"/>
      <c r="E96" s="770"/>
      <c r="F96" s="770"/>
      <c r="G96" s="770"/>
      <c r="H96" s="770"/>
      <c r="I96" s="770"/>
      <c r="J96" s="770"/>
      <c r="K96" s="770"/>
      <c r="L96" s="770"/>
      <c r="M96" s="770"/>
      <c r="N96" s="770"/>
    </row>
    <row r="97" spans="1:14" x14ac:dyDescent="0.3">
      <c r="A97" s="383"/>
      <c r="B97" s="383"/>
      <c r="C97" s="383"/>
      <c r="D97" s="383"/>
      <c r="E97" s="383"/>
      <c r="F97" s="383"/>
      <c r="G97" s="383"/>
      <c r="H97" s="383"/>
      <c r="I97" s="383"/>
      <c r="J97" s="383"/>
      <c r="K97" s="383"/>
      <c r="L97" s="383"/>
      <c r="M97" s="383"/>
      <c r="N97" s="383"/>
    </row>
    <row r="98" spans="1:14" x14ac:dyDescent="0.3">
      <c r="A98" s="383"/>
      <c r="B98" s="383"/>
      <c r="C98" s="385" t="s">
        <v>110</v>
      </c>
      <c r="D98" s="383"/>
      <c r="E98" s="383"/>
      <c r="F98" s="383"/>
      <c r="G98" s="383"/>
      <c r="H98" s="383"/>
      <c r="I98" s="383"/>
      <c r="J98" s="383"/>
      <c r="K98" s="383"/>
      <c r="L98" s="383"/>
      <c r="M98" s="383"/>
      <c r="N98" s="383"/>
    </row>
    <row r="99" spans="1:14" ht="90" customHeight="1" x14ac:dyDescent="0.3">
      <c r="A99" s="383"/>
      <c r="B99" s="383"/>
      <c r="C99" s="762" t="s">
        <v>985</v>
      </c>
      <c r="D99" s="762"/>
      <c r="E99" s="762"/>
      <c r="F99" s="762"/>
      <c r="G99" s="762"/>
      <c r="H99" s="762"/>
      <c r="I99" s="762"/>
      <c r="J99" s="762"/>
      <c r="K99" s="762"/>
      <c r="L99" s="762"/>
      <c r="M99" s="762"/>
      <c r="N99" s="762"/>
    </row>
    <row r="100" spans="1:14" x14ac:dyDescent="0.3">
      <c r="A100" s="383"/>
      <c r="B100" s="383"/>
      <c r="C100" s="383"/>
      <c r="D100" s="383"/>
      <c r="E100" s="383"/>
      <c r="F100" s="383"/>
      <c r="G100" s="383"/>
      <c r="H100" s="383"/>
      <c r="I100" s="383"/>
      <c r="J100" s="383"/>
      <c r="K100" s="383"/>
      <c r="L100" s="383"/>
      <c r="M100" s="383"/>
      <c r="N100" s="383"/>
    </row>
    <row r="101" spans="1:14" ht="90.75" customHeight="1" x14ac:dyDescent="0.3">
      <c r="A101" s="383"/>
      <c r="B101" s="383"/>
      <c r="C101" s="762" t="s">
        <v>986</v>
      </c>
      <c r="D101" s="762"/>
      <c r="E101" s="762"/>
      <c r="F101" s="762"/>
      <c r="G101" s="762"/>
      <c r="H101" s="762"/>
      <c r="I101" s="762"/>
      <c r="J101" s="762"/>
      <c r="K101" s="762"/>
      <c r="L101" s="762"/>
      <c r="M101" s="762"/>
      <c r="N101" s="762"/>
    </row>
    <row r="102" spans="1:14" x14ac:dyDescent="0.3">
      <c r="A102" s="383"/>
      <c r="B102" s="383"/>
      <c r="C102" s="383"/>
      <c r="D102" s="383"/>
      <c r="E102" s="383"/>
      <c r="F102" s="383"/>
      <c r="G102" s="383"/>
      <c r="H102" s="383"/>
      <c r="I102" s="383"/>
      <c r="J102" s="383"/>
      <c r="K102" s="383"/>
      <c r="L102" s="383"/>
      <c r="M102" s="383"/>
      <c r="N102" s="383"/>
    </row>
    <row r="103" spans="1:14" x14ac:dyDescent="0.3">
      <c r="A103" s="383"/>
      <c r="B103" s="383"/>
      <c r="C103" s="762" t="s">
        <v>987</v>
      </c>
      <c r="D103" s="762"/>
      <c r="E103" s="762"/>
      <c r="F103" s="762"/>
      <c r="G103" s="762"/>
      <c r="H103" s="762"/>
      <c r="I103" s="762"/>
      <c r="J103" s="762"/>
      <c r="K103" s="762"/>
      <c r="L103" s="762"/>
      <c r="M103" s="762"/>
      <c r="N103" s="762"/>
    </row>
    <row r="104" spans="1:14" x14ac:dyDescent="0.3">
      <c r="A104" s="383"/>
      <c r="B104" s="383"/>
      <c r="C104" s="762"/>
      <c r="D104" s="762"/>
      <c r="E104" s="762"/>
      <c r="F104" s="762"/>
      <c r="G104" s="762"/>
      <c r="H104" s="762"/>
      <c r="I104" s="762"/>
      <c r="J104" s="762"/>
      <c r="K104" s="762"/>
      <c r="L104" s="762"/>
      <c r="M104" s="762"/>
      <c r="N104" s="762"/>
    </row>
    <row r="105" spans="1:14" x14ac:dyDescent="0.3">
      <c r="A105" s="383"/>
      <c r="B105" s="383"/>
      <c r="C105" s="762"/>
      <c r="D105" s="762"/>
      <c r="E105" s="762"/>
      <c r="F105" s="762"/>
      <c r="G105" s="762"/>
      <c r="H105" s="762"/>
      <c r="I105" s="762"/>
      <c r="J105" s="762"/>
      <c r="K105" s="762"/>
      <c r="L105" s="762"/>
      <c r="M105" s="762"/>
      <c r="N105" s="762"/>
    </row>
    <row r="106" spans="1:14" x14ac:dyDescent="0.3">
      <c r="A106" s="383"/>
      <c r="B106" s="383"/>
      <c r="C106" s="762"/>
      <c r="D106" s="762"/>
      <c r="E106" s="762"/>
      <c r="F106" s="762"/>
      <c r="G106" s="762"/>
      <c r="H106" s="762"/>
      <c r="I106" s="762"/>
      <c r="J106" s="762"/>
      <c r="K106" s="762"/>
      <c r="L106" s="762"/>
      <c r="M106" s="762"/>
      <c r="N106" s="762"/>
    </row>
    <row r="107" spans="1:14" x14ac:dyDescent="0.3">
      <c r="A107" s="383"/>
      <c r="B107" s="383"/>
      <c r="C107" s="762"/>
      <c r="D107" s="762"/>
      <c r="E107" s="762"/>
      <c r="F107" s="762"/>
      <c r="G107" s="762"/>
      <c r="H107" s="762"/>
      <c r="I107" s="762"/>
      <c r="J107" s="762"/>
      <c r="K107" s="762"/>
      <c r="L107" s="762"/>
      <c r="M107" s="762"/>
      <c r="N107" s="762"/>
    </row>
    <row r="108" spans="1:14" x14ac:dyDescent="0.3">
      <c r="A108" s="383"/>
      <c r="B108" s="383"/>
      <c r="C108" s="762"/>
      <c r="D108" s="762"/>
      <c r="E108" s="762"/>
      <c r="F108" s="762"/>
      <c r="G108" s="762"/>
      <c r="H108" s="762"/>
      <c r="I108" s="762"/>
      <c r="J108" s="762"/>
      <c r="K108" s="762"/>
      <c r="L108" s="762"/>
      <c r="M108" s="762"/>
      <c r="N108" s="762"/>
    </row>
    <row r="109" spans="1:14" x14ac:dyDescent="0.3">
      <c r="A109" s="383"/>
      <c r="B109" s="383"/>
      <c r="C109" s="762"/>
      <c r="D109" s="762"/>
      <c r="E109" s="762"/>
      <c r="F109" s="762"/>
      <c r="G109" s="762"/>
      <c r="H109" s="762"/>
      <c r="I109" s="762"/>
      <c r="J109" s="762"/>
      <c r="K109" s="762"/>
      <c r="L109" s="762"/>
      <c r="M109" s="762"/>
      <c r="N109" s="762"/>
    </row>
    <row r="110" spans="1:14" ht="63" customHeight="1" x14ac:dyDescent="0.3">
      <c r="A110" s="383"/>
      <c r="B110" s="383"/>
      <c r="C110" s="762"/>
      <c r="D110" s="762"/>
      <c r="E110" s="762"/>
      <c r="F110" s="762"/>
      <c r="G110" s="762"/>
      <c r="H110" s="762"/>
      <c r="I110" s="762"/>
      <c r="J110" s="762"/>
      <c r="K110" s="762"/>
      <c r="L110" s="762"/>
      <c r="M110" s="762"/>
      <c r="N110" s="762"/>
    </row>
    <row r="111" spans="1:14" ht="30" customHeight="1" x14ac:dyDescent="0.3">
      <c r="A111" s="383"/>
      <c r="B111" s="383"/>
      <c r="C111" s="762"/>
      <c r="D111" s="762"/>
      <c r="E111" s="762"/>
      <c r="F111" s="762"/>
      <c r="G111" s="762"/>
      <c r="H111" s="762"/>
      <c r="I111" s="762"/>
      <c r="J111" s="762"/>
      <c r="K111" s="762"/>
      <c r="L111" s="762"/>
      <c r="M111" s="762"/>
      <c r="N111" s="762"/>
    </row>
    <row r="112" spans="1:14" ht="20.25" customHeight="1" x14ac:dyDescent="0.3">
      <c r="A112" s="383"/>
      <c r="B112" s="383"/>
      <c r="C112" s="762"/>
      <c r="D112" s="762"/>
      <c r="E112" s="762"/>
      <c r="F112" s="762"/>
      <c r="G112" s="762"/>
      <c r="H112" s="762"/>
      <c r="I112" s="762"/>
      <c r="J112" s="762"/>
      <c r="K112" s="762"/>
      <c r="L112" s="762"/>
      <c r="M112" s="762"/>
      <c r="N112" s="762"/>
    </row>
    <row r="113" spans="1:14" ht="48.75" customHeight="1" x14ac:dyDescent="0.3">
      <c r="A113" s="383"/>
      <c r="B113" s="383"/>
      <c r="C113" s="762"/>
      <c r="D113" s="762"/>
      <c r="E113" s="762"/>
      <c r="F113" s="762"/>
      <c r="G113" s="762"/>
      <c r="H113" s="762"/>
      <c r="I113" s="762"/>
      <c r="J113" s="762"/>
      <c r="K113" s="762"/>
      <c r="L113" s="762"/>
      <c r="M113" s="762"/>
      <c r="N113" s="762"/>
    </row>
    <row r="114" spans="1:14" ht="21.75" customHeight="1" x14ac:dyDescent="0.3">
      <c r="A114" s="383"/>
      <c r="B114" s="383"/>
      <c r="C114" s="762"/>
      <c r="D114" s="762"/>
      <c r="E114" s="762"/>
      <c r="F114" s="762"/>
      <c r="G114" s="762"/>
      <c r="H114" s="762"/>
      <c r="I114" s="762"/>
      <c r="J114" s="762"/>
      <c r="K114" s="762"/>
      <c r="L114" s="762"/>
      <c r="M114" s="762"/>
      <c r="N114" s="762"/>
    </row>
    <row r="115" spans="1:14" x14ac:dyDescent="0.3">
      <c r="A115" s="383"/>
      <c r="B115" s="383"/>
      <c r="C115" s="388"/>
      <c r="D115" s="388"/>
      <c r="E115" s="388"/>
      <c r="F115" s="388"/>
      <c r="G115" s="388"/>
      <c r="H115" s="388"/>
      <c r="I115" s="388"/>
      <c r="J115" s="388"/>
      <c r="K115" s="388"/>
      <c r="L115" s="388"/>
      <c r="M115" s="388"/>
      <c r="N115" s="388"/>
    </row>
    <row r="116" spans="1:14" ht="138.75" customHeight="1" x14ac:dyDescent="0.3">
      <c r="A116" s="383"/>
      <c r="B116" s="383"/>
      <c r="C116" s="762" t="s">
        <v>988</v>
      </c>
      <c r="D116" s="762"/>
      <c r="E116" s="762"/>
      <c r="F116" s="762"/>
      <c r="G116" s="762"/>
      <c r="H116" s="762"/>
      <c r="I116" s="762"/>
      <c r="J116" s="762"/>
      <c r="K116" s="762"/>
      <c r="L116" s="762"/>
      <c r="M116" s="762"/>
      <c r="N116" s="762"/>
    </row>
    <row r="117" spans="1:14" x14ac:dyDescent="0.3">
      <c r="A117" s="383"/>
      <c r="B117" s="383"/>
      <c r="C117" s="383"/>
      <c r="D117" s="383"/>
      <c r="E117" s="383"/>
      <c r="F117" s="383"/>
      <c r="G117" s="383"/>
      <c r="H117" s="383"/>
      <c r="I117" s="383"/>
      <c r="J117" s="383"/>
      <c r="K117" s="383"/>
      <c r="L117" s="383"/>
      <c r="M117" s="383"/>
      <c r="N117" s="383"/>
    </row>
    <row r="118" spans="1:14" ht="135.75" customHeight="1" x14ac:dyDescent="0.3">
      <c r="A118" s="383"/>
      <c r="B118" s="383"/>
      <c r="C118" s="762" t="s">
        <v>989</v>
      </c>
      <c r="D118" s="762"/>
      <c r="E118" s="762"/>
      <c r="F118" s="762"/>
      <c r="G118" s="762"/>
      <c r="H118" s="762"/>
      <c r="I118" s="762"/>
      <c r="J118" s="762"/>
      <c r="K118" s="762"/>
      <c r="L118" s="762"/>
      <c r="M118" s="762"/>
      <c r="N118" s="762"/>
    </row>
    <row r="119" spans="1:14" x14ac:dyDescent="0.3">
      <c r="A119" s="383"/>
      <c r="B119" s="383"/>
      <c r="C119" s="383"/>
      <c r="D119" s="383"/>
      <c r="E119" s="383"/>
      <c r="F119" s="383"/>
      <c r="G119" s="383"/>
      <c r="H119" s="383"/>
      <c r="I119" s="383"/>
      <c r="J119" s="383"/>
      <c r="K119" s="383"/>
      <c r="L119" s="383"/>
      <c r="M119" s="383"/>
      <c r="N119" s="383"/>
    </row>
    <row r="120" spans="1:14" x14ac:dyDescent="0.3">
      <c r="A120" s="383"/>
      <c r="B120" s="383"/>
      <c r="C120" s="762" t="s">
        <v>990</v>
      </c>
      <c r="D120" s="762"/>
      <c r="E120" s="762"/>
      <c r="F120" s="762"/>
      <c r="G120" s="762"/>
      <c r="H120" s="762"/>
      <c r="I120" s="762"/>
      <c r="J120" s="762"/>
      <c r="K120" s="762"/>
      <c r="L120" s="762"/>
      <c r="M120" s="762"/>
      <c r="N120" s="762"/>
    </row>
    <row r="121" spans="1:14" x14ac:dyDescent="0.3">
      <c r="A121" s="383"/>
      <c r="B121" s="383"/>
      <c r="C121" s="762"/>
      <c r="D121" s="762"/>
      <c r="E121" s="762"/>
      <c r="F121" s="762"/>
      <c r="G121" s="762"/>
      <c r="H121" s="762"/>
      <c r="I121" s="762"/>
      <c r="J121" s="762"/>
      <c r="K121" s="762"/>
      <c r="L121" s="762"/>
      <c r="M121" s="762"/>
      <c r="N121" s="762"/>
    </row>
    <row r="122" spans="1:14" ht="29.25" customHeight="1" x14ac:dyDescent="0.3">
      <c r="A122" s="383"/>
      <c r="B122" s="383"/>
      <c r="C122" s="762"/>
      <c r="D122" s="762"/>
      <c r="E122" s="762"/>
      <c r="F122" s="762"/>
      <c r="G122" s="762"/>
      <c r="H122" s="762"/>
      <c r="I122" s="762"/>
      <c r="J122" s="762"/>
      <c r="K122" s="762"/>
      <c r="L122" s="762"/>
      <c r="M122" s="762"/>
      <c r="N122" s="762"/>
    </row>
    <row r="123" spans="1:14" ht="39.75" customHeight="1" x14ac:dyDescent="0.3">
      <c r="A123" s="383"/>
      <c r="B123" s="383"/>
      <c r="C123" s="762"/>
      <c r="D123" s="762"/>
      <c r="E123" s="762"/>
      <c r="F123" s="762"/>
      <c r="G123" s="762"/>
      <c r="H123" s="762"/>
      <c r="I123" s="762"/>
      <c r="J123" s="762"/>
      <c r="K123" s="762"/>
      <c r="L123" s="762"/>
      <c r="M123" s="762"/>
      <c r="N123" s="762"/>
    </row>
    <row r="124" spans="1:14" ht="82.5" customHeight="1" x14ac:dyDescent="0.3">
      <c r="A124" s="383"/>
      <c r="B124" s="383"/>
      <c r="C124" s="762"/>
      <c r="D124" s="762"/>
      <c r="E124" s="762"/>
      <c r="F124" s="762"/>
      <c r="G124" s="762"/>
      <c r="H124" s="762"/>
      <c r="I124" s="762"/>
      <c r="J124" s="762"/>
      <c r="K124" s="762"/>
      <c r="L124" s="762"/>
      <c r="M124" s="762"/>
      <c r="N124" s="762"/>
    </row>
    <row r="125" spans="1:14" x14ac:dyDescent="0.3">
      <c r="A125" s="383"/>
      <c r="B125" s="383"/>
      <c r="C125" s="762"/>
      <c r="D125" s="762"/>
      <c r="E125" s="762"/>
      <c r="F125" s="762"/>
      <c r="G125" s="762"/>
      <c r="H125" s="762"/>
      <c r="I125" s="762"/>
      <c r="J125" s="762"/>
      <c r="K125" s="762"/>
      <c r="L125" s="762"/>
      <c r="M125" s="762"/>
      <c r="N125" s="762"/>
    </row>
    <row r="126" spans="1:14" ht="47.25" customHeight="1" x14ac:dyDescent="0.3">
      <c r="A126" s="383"/>
      <c r="B126" s="383"/>
      <c r="C126" s="762"/>
      <c r="D126" s="762"/>
      <c r="E126" s="762"/>
      <c r="F126" s="762"/>
      <c r="G126" s="762"/>
      <c r="H126" s="762"/>
      <c r="I126" s="762"/>
      <c r="J126" s="762"/>
      <c r="K126" s="762"/>
      <c r="L126" s="762"/>
      <c r="M126" s="762"/>
      <c r="N126" s="762"/>
    </row>
    <row r="127" spans="1:14" x14ac:dyDescent="0.3">
      <c r="A127" s="383"/>
      <c r="B127" s="383"/>
      <c r="C127" s="762"/>
      <c r="D127" s="762"/>
      <c r="E127" s="762"/>
      <c r="F127" s="762"/>
      <c r="G127" s="762"/>
      <c r="H127" s="762"/>
      <c r="I127" s="762"/>
      <c r="J127" s="762"/>
      <c r="K127" s="762"/>
      <c r="L127" s="762"/>
      <c r="M127" s="762"/>
      <c r="N127" s="762"/>
    </row>
    <row r="128" spans="1:14" ht="43.5" customHeight="1" x14ac:dyDescent="0.3">
      <c r="A128" s="383"/>
      <c r="B128" s="383"/>
      <c r="C128" s="762"/>
      <c r="D128" s="762"/>
      <c r="E128" s="762"/>
      <c r="F128" s="762"/>
      <c r="G128" s="762"/>
      <c r="H128" s="762"/>
      <c r="I128" s="762"/>
      <c r="J128" s="762"/>
      <c r="K128" s="762"/>
      <c r="L128" s="762"/>
      <c r="M128" s="762"/>
      <c r="N128" s="762"/>
    </row>
    <row r="129" spans="1:14" x14ac:dyDescent="0.3">
      <c r="A129" s="383"/>
      <c r="B129" s="383"/>
      <c r="C129" s="383"/>
      <c r="D129" s="383"/>
      <c r="E129" s="383"/>
      <c r="F129" s="383"/>
      <c r="G129" s="383"/>
      <c r="H129" s="383"/>
      <c r="I129" s="383"/>
      <c r="J129" s="383"/>
      <c r="K129" s="383"/>
      <c r="L129" s="383"/>
      <c r="M129" s="383"/>
      <c r="N129" s="383"/>
    </row>
    <row r="130" spans="1:14" ht="89.25" customHeight="1" x14ac:dyDescent="0.3">
      <c r="A130" s="383"/>
      <c r="B130" s="383"/>
      <c r="C130" s="762" t="s">
        <v>991</v>
      </c>
      <c r="D130" s="762"/>
      <c r="E130" s="762"/>
      <c r="F130" s="762"/>
      <c r="G130" s="762"/>
      <c r="H130" s="762"/>
      <c r="I130" s="762"/>
      <c r="J130" s="762"/>
      <c r="K130" s="762"/>
      <c r="L130" s="762"/>
      <c r="M130" s="762"/>
      <c r="N130" s="762"/>
    </row>
    <row r="131" spans="1:14" x14ac:dyDescent="0.3">
      <c r="A131" s="383"/>
      <c r="B131" s="383"/>
      <c r="C131" s="383"/>
      <c r="D131" s="383"/>
      <c r="E131" s="383"/>
      <c r="F131" s="383"/>
      <c r="G131" s="383"/>
      <c r="H131" s="383"/>
      <c r="I131" s="383"/>
      <c r="J131" s="383"/>
      <c r="K131" s="383"/>
      <c r="L131" s="383"/>
      <c r="M131" s="383"/>
      <c r="N131" s="383"/>
    </row>
    <row r="132" spans="1:14" x14ac:dyDescent="0.3">
      <c r="A132" s="383"/>
      <c r="B132" s="383"/>
      <c r="C132" s="762" t="s">
        <v>992</v>
      </c>
      <c r="D132" s="762"/>
      <c r="E132" s="762"/>
      <c r="F132" s="762"/>
      <c r="G132" s="762"/>
      <c r="H132" s="762"/>
      <c r="I132" s="762"/>
      <c r="J132" s="762"/>
      <c r="K132" s="762"/>
      <c r="L132" s="762"/>
      <c r="M132" s="762"/>
      <c r="N132" s="762"/>
    </row>
    <row r="133" spans="1:14" x14ac:dyDescent="0.3">
      <c r="A133" s="383"/>
      <c r="B133" s="383"/>
      <c r="C133" s="762"/>
      <c r="D133" s="762"/>
      <c r="E133" s="762"/>
      <c r="F133" s="762"/>
      <c r="G133" s="762"/>
      <c r="H133" s="762"/>
      <c r="I133" s="762"/>
      <c r="J133" s="762"/>
      <c r="K133" s="762"/>
      <c r="L133" s="762"/>
      <c r="M133" s="762"/>
      <c r="N133" s="762"/>
    </row>
    <row r="134" spans="1:14" ht="26.25" customHeight="1" x14ac:dyDescent="0.3">
      <c r="A134" s="383"/>
      <c r="B134" s="383"/>
      <c r="C134" s="762"/>
      <c r="D134" s="762"/>
      <c r="E134" s="762"/>
      <c r="F134" s="762"/>
      <c r="G134" s="762"/>
      <c r="H134" s="762"/>
      <c r="I134" s="762"/>
      <c r="J134" s="762"/>
      <c r="K134" s="762"/>
      <c r="L134" s="762"/>
      <c r="M134" s="762"/>
      <c r="N134" s="762"/>
    </row>
    <row r="135" spans="1:14" ht="37.5" customHeight="1" x14ac:dyDescent="0.3">
      <c r="A135" s="383"/>
      <c r="B135" s="383"/>
      <c r="C135" s="762"/>
      <c r="D135" s="762"/>
      <c r="E135" s="762"/>
      <c r="F135" s="762"/>
      <c r="G135" s="762"/>
      <c r="H135" s="762"/>
      <c r="I135" s="762"/>
      <c r="J135" s="762"/>
      <c r="K135" s="762"/>
      <c r="L135" s="762"/>
      <c r="M135" s="762"/>
      <c r="N135" s="762"/>
    </row>
    <row r="136" spans="1:14" ht="30" customHeight="1" x14ac:dyDescent="0.3">
      <c r="A136" s="383"/>
      <c r="B136" s="383"/>
      <c r="C136" s="762"/>
      <c r="D136" s="762"/>
      <c r="E136" s="762"/>
      <c r="F136" s="762"/>
      <c r="G136" s="762"/>
      <c r="H136" s="762"/>
      <c r="I136" s="762"/>
      <c r="J136" s="762"/>
      <c r="K136" s="762"/>
      <c r="L136" s="762"/>
      <c r="M136" s="762"/>
      <c r="N136" s="762"/>
    </row>
    <row r="137" spans="1:14" x14ac:dyDescent="0.3">
      <c r="A137" s="383"/>
      <c r="B137" s="383"/>
      <c r="C137" s="383"/>
      <c r="D137" s="383"/>
      <c r="E137" s="383"/>
      <c r="F137" s="383"/>
      <c r="G137" s="383"/>
      <c r="H137" s="383"/>
      <c r="I137" s="383"/>
      <c r="J137" s="383"/>
      <c r="K137" s="383"/>
      <c r="L137" s="383"/>
      <c r="M137" s="383"/>
      <c r="N137" s="383"/>
    </row>
    <row r="138" spans="1:14" x14ac:dyDescent="0.3">
      <c r="A138" s="383"/>
      <c r="B138" s="383"/>
      <c r="C138" s="762" t="s">
        <v>993</v>
      </c>
      <c r="D138" s="762"/>
      <c r="E138" s="762"/>
      <c r="F138" s="762"/>
      <c r="G138" s="762"/>
      <c r="H138" s="762"/>
      <c r="I138" s="762"/>
      <c r="J138" s="762"/>
      <c r="K138" s="762"/>
      <c r="L138" s="762"/>
      <c r="M138" s="762"/>
      <c r="N138" s="762"/>
    </row>
    <row r="139" spans="1:14" x14ac:dyDescent="0.3">
      <c r="A139" s="383"/>
      <c r="B139" s="383"/>
      <c r="C139" s="762"/>
      <c r="D139" s="762"/>
      <c r="E139" s="762"/>
      <c r="F139" s="762"/>
      <c r="G139" s="762"/>
      <c r="H139" s="762"/>
      <c r="I139" s="762"/>
      <c r="J139" s="762"/>
      <c r="K139" s="762"/>
      <c r="L139" s="762"/>
      <c r="M139" s="762"/>
      <c r="N139" s="762"/>
    </row>
    <row r="140" spans="1:14" ht="30.75" customHeight="1" x14ac:dyDescent="0.3">
      <c r="A140" s="383"/>
      <c r="B140" s="383"/>
      <c r="C140" s="762"/>
      <c r="D140" s="762"/>
      <c r="E140" s="762"/>
      <c r="F140" s="762"/>
      <c r="G140" s="762"/>
      <c r="H140" s="762"/>
      <c r="I140" s="762"/>
      <c r="J140" s="762"/>
      <c r="K140" s="762"/>
      <c r="L140" s="762"/>
      <c r="M140" s="762"/>
      <c r="N140" s="762"/>
    </row>
    <row r="141" spans="1:14" x14ac:dyDescent="0.3">
      <c r="A141" s="383"/>
      <c r="B141" s="383"/>
      <c r="C141" s="383"/>
      <c r="D141" s="383"/>
      <c r="E141" s="383"/>
      <c r="F141" s="383"/>
      <c r="G141" s="383"/>
      <c r="H141" s="383"/>
      <c r="I141" s="383"/>
      <c r="J141" s="383"/>
      <c r="K141" s="383"/>
      <c r="L141" s="383"/>
      <c r="M141" s="383"/>
      <c r="N141" s="383"/>
    </row>
    <row r="142" spans="1:14" x14ac:dyDescent="0.3">
      <c r="A142" s="383"/>
      <c r="B142" s="383" t="s">
        <v>112</v>
      </c>
      <c r="C142" s="385" t="s">
        <v>111</v>
      </c>
      <c r="D142" s="383"/>
      <c r="E142" s="383"/>
      <c r="F142" s="383"/>
      <c r="G142" s="383"/>
      <c r="H142" s="383"/>
      <c r="I142" s="383"/>
      <c r="J142" s="383"/>
      <c r="K142" s="383"/>
      <c r="L142" s="383"/>
      <c r="M142" s="383"/>
      <c r="N142" s="383"/>
    </row>
    <row r="143" spans="1:14" x14ac:dyDescent="0.3">
      <c r="A143" s="383"/>
      <c r="B143" s="383"/>
      <c r="C143" s="762" t="s">
        <v>468</v>
      </c>
      <c r="D143" s="762"/>
      <c r="E143" s="762"/>
      <c r="F143" s="762"/>
      <c r="G143" s="762"/>
      <c r="H143" s="762"/>
      <c r="I143" s="762"/>
      <c r="J143" s="762"/>
      <c r="K143" s="762"/>
      <c r="L143" s="762"/>
      <c r="M143" s="762"/>
      <c r="N143" s="762"/>
    </row>
    <row r="144" spans="1:14" x14ac:dyDescent="0.3">
      <c r="A144" s="383"/>
      <c r="B144" s="383"/>
      <c r="C144" s="762"/>
      <c r="D144" s="762"/>
      <c r="E144" s="762"/>
      <c r="F144" s="762"/>
      <c r="G144" s="762"/>
      <c r="H144" s="762"/>
      <c r="I144" s="762"/>
      <c r="J144" s="762"/>
      <c r="K144" s="762"/>
      <c r="L144" s="762"/>
      <c r="M144" s="762"/>
      <c r="N144" s="762"/>
    </row>
    <row r="145" spans="1:14" x14ac:dyDescent="0.3">
      <c r="A145" s="383"/>
      <c r="B145" s="383"/>
      <c r="C145" s="762"/>
      <c r="D145" s="762"/>
      <c r="E145" s="762"/>
      <c r="F145" s="762"/>
      <c r="G145" s="762"/>
      <c r="H145" s="762"/>
      <c r="I145" s="762"/>
      <c r="J145" s="762"/>
      <c r="K145" s="762"/>
      <c r="L145" s="762"/>
      <c r="M145" s="762"/>
      <c r="N145" s="762"/>
    </row>
    <row r="146" spans="1:14" x14ac:dyDescent="0.3">
      <c r="A146" s="383"/>
      <c r="B146" s="383"/>
      <c r="C146" s="762"/>
      <c r="D146" s="762"/>
      <c r="E146" s="762"/>
      <c r="F146" s="762"/>
      <c r="G146" s="762"/>
      <c r="H146" s="762"/>
      <c r="I146" s="762"/>
      <c r="J146" s="762"/>
      <c r="K146" s="762"/>
      <c r="L146" s="762"/>
      <c r="M146" s="762"/>
      <c r="N146" s="762"/>
    </row>
    <row r="147" spans="1:14" x14ac:dyDescent="0.3">
      <c r="A147" s="383"/>
      <c r="B147" s="383"/>
      <c r="C147" s="762"/>
      <c r="D147" s="762"/>
      <c r="E147" s="762"/>
      <c r="F147" s="762"/>
      <c r="G147" s="762"/>
      <c r="H147" s="762"/>
      <c r="I147" s="762"/>
      <c r="J147" s="762"/>
      <c r="K147" s="762"/>
      <c r="L147" s="762"/>
      <c r="M147" s="762"/>
      <c r="N147" s="762"/>
    </row>
    <row r="148" spans="1:14" x14ac:dyDescent="0.3">
      <c r="A148" s="383"/>
      <c r="B148" s="383"/>
      <c r="C148" s="762"/>
      <c r="D148" s="762"/>
      <c r="E148" s="762"/>
      <c r="F148" s="762"/>
      <c r="G148" s="762"/>
      <c r="H148" s="762"/>
      <c r="I148" s="762"/>
      <c r="J148" s="762"/>
      <c r="K148" s="762"/>
      <c r="L148" s="762"/>
      <c r="M148" s="762"/>
      <c r="N148" s="762"/>
    </row>
    <row r="149" spans="1:14" x14ac:dyDescent="0.3">
      <c r="A149" s="383"/>
      <c r="B149" s="383"/>
      <c r="C149" s="762"/>
      <c r="D149" s="762"/>
      <c r="E149" s="762"/>
      <c r="F149" s="762"/>
      <c r="G149" s="762"/>
      <c r="H149" s="762"/>
      <c r="I149" s="762"/>
      <c r="J149" s="762"/>
      <c r="K149" s="762"/>
      <c r="L149" s="762"/>
      <c r="M149" s="762"/>
      <c r="N149" s="762"/>
    </row>
    <row r="150" spans="1:14" ht="16.5" customHeight="1" x14ac:dyDescent="0.3">
      <c r="A150" s="383"/>
      <c r="B150" s="383"/>
      <c r="C150" s="762"/>
      <c r="D150" s="762"/>
      <c r="E150" s="762"/>
      <c r="F150" s="762"/>
      <c r="G150" s="762"/>
      <c r="H150" s="762"/>
      <c r="I150" s="762"/>
      <c r="J150" s="762"/>
      <c r="K150" s="762"/>
      <c r="L150" s="762"/>
      <c r="M150" s="762"/>
      <c r="N150" s="762"/>
    </row>
    <row r="151" spans="1:14" ht="18" customHeight="1" x14ac:dyDescent="0.3">
      <c r="A151" s="383"/>
      <c r="B151" s="383"/>
      <c r="C151" s="762"/>
      <c r="D151" s="762"/>
      <c r="E151" s="762"/>
      <c r="F151" s="762"/>
      <c r="G151" s="762"/>
      <c r="H151" s="762"/>
      <c r="I151" s="762"/>
      <c r="J151" s="762"/>
      <c r="K151" s="762"/>
      <c r="L151" s="762"/>
      <c r="M151" s="762"/>
      <c r="N151" s="762"/>
    </row>
    <row r="152" spans="1:14" x14ac:dyDescent="0.3">
      <c r="A152" s="383"/>
      <c r="B152" s="383"/>
      <c r="C152" s="762"/>
      <c r="D152" s="762"/>
      <c r="E152" s="762"/>
      <c r="F152" s="762"/>
      <c r="G152" s="762"/>
      <c r="H152" s="762"/>
      <c r="I152" s="762"/>
      <c r="J152" s="762"/>
      <c r="K152" s="762"/>
      <c r="L152" s="762"/>
      <c r="M152" s="762"/>
      <c r="N152" s="762"/>
    </row>
    <row r="153" spans="1:14" x14ac:dyDescent="0.3">
      <c r="A153" s="383"/>
      <c r="B153" s="383"/>
      <c r="C153" s="762"/>
      <c r="D153" s="762"/>
      <c r="E153" s="762"/>
      <c r="F153" s="762"/>
      <c r="G153" s="762"/>
      <c r="H153" s="762"/>
      <c r="I153" s="762"/>
      <c r="J153" s="762"/>
      <c r="K153" s="762"/>
      <c r="L153" s="762"/>
      <c r="M153" s="762"/>
      <c r="N153" s="762"/>
    </row>
    <row r="154" spans="1:14" x14ac:dyDescent="0.3">
      <c r="A154" s="383"/>
      <c r="B154" s="383"/>
      <c r="C154" s="762"/>
      <c r="D154" s="762"/>
      <c r="E154" s="762"/>
      <c r="F154" s="762"/>
      <c r="G154" s="762"/>
      <c r="H154" s="762"/>
      <c r="I154" s="762"/>
      <c r="J154" s="762"/>
      <c r="K154" s="762"/>
      <c r="L154" s="762"/>
      <c r="M154" s="762"/>
      <c r="N154" s="762"/>
    </row>
    <row r="155" spans="1:14" x14ac:dyDescent="0.3">
      <c r="A155" s="383"/>
      <c r="B155" s="383"/>
      <c r="C155" s="762"/>
      <c r="D155" s="762"/>
      <c r="E155" s="762"/>
      <c r="F155" s="762"/>
      <c r="G155" s="762"/>
      <c r="H155" s="762"/>
      <c r="I155" s="762"/>
      <c r="J155" s="762"/>
      <c r="K155" s="762"/>
      <c r="L155" s="762"/>
      <c r="M155" s="762"/>
      <c r="N155" s="762"/>
    </row>
    <row r="156" spans="1:14" x14ac:dyDescent="0.3">
      <c r="A156" s="383"/>
      <c r="B156" s="383"/>
      <c r="C156" s="762"/>
      <c r="D156" s="762"/>
      <c r="E156" s="762"/>
      <c r="F156" s="762"/>
      <c r="G156" s="762"/>
      <c r="H156" s="762"/>
      <c r="I156" s="762"/>
      <c r="J156" s="762"/>
      <c r="K156" s="762"/>
      <c r="L156" s="762"/>
      <c r="M156" s="762"/>
      <c r="N156" s="762"/>
    </row>
    <row r="157" spans="1:14" x14ac:dyDescent="0.3">
      <c r="A157" s="383"/>
      <c r="B157" s="383"/>
      <c r="C157" s="762"/>
      <c r="D157" s="762"/>
      <c r="E157" s="762"/>
      <c r="F157" s="762"/>
      <c r="G157" s="762"/>
      <c r="H157" s="762"/>
      <c r="I157" s="762"/>
      <c r="J157" s="762"/>
      <c r="K157" s="762"/>
      <c r="L157" s="762"/>
      <c r="M157" s="762"/>
      <c r="N157" s="762"/>
    </row>
    <row r="158" spans="1:14" x14ac:dyDescent="0.3">
      <c r="A158" s="383"/>
      <c r="B158" s="383"/>
      <c r="C158" s="762"/>
      <c r="D158" s="762"/>
      <c r="E158" s="762"/>
      <c r="F158" s="762"/>
      <c r="G158" s="762"/>
      <c r="H158" s="762"/>
      <c r="I158" s="762"/>
      <c r="J158" s="762"/>
      <c r="K158" s="762"/>
      <c r="L158" s="762"/>
      <c r="M158" s="762"/>
      <c r="N158" s="762"/>
    </row>
    <row r="159" spans="1:14" x14ac:dyDescent="0.3">
      <c r="A159" s="383"/>
      <c r="B159" s="383"/>
      <c r="C159" s="762"/>
      <c r="D159" s="762"/>
      <c r="E159" s="762"/>
      <c r="F159" s="762"/>
      <c r="G159" s="762"/>
      <c r="H159" s="762"/>
      <c r="I159" s="762"/>
      <c r="J159" s="762"/>
      <c r="K159" s="762"/>
      <c r="L159" s="762"/>
      <c r="M159" s="762"/>
      <c r="N159" s="762"/>
    </row>
    <row r="160" spans="1:14" x14ac:dyDescent="0.3">
      <c r="A160" s="383"/>
      <c r="B160" s="383"/>
      <c r="C160" s="762"/>
      <c r="D160" s="762"/>
      <c r="E160" s="762"/>
      <c r="F160" s="762"/>
      <c r="G160" s="762"/>
      <c r="H160" s="762"/>
      <c r="I160" s="762"/>
      <c r="J160" s="762"/>
      <c r="K160" s="762"/>
      <c r="L160" s="762"/>
      <c r="M160" s="762"/>
      <c r="N160" s="762"/>
    </row>
    <row r="161" spans="1:14" ht="12.75" customHeight="1" x14ac:dyDescent="0.3">
      <c r="A161" s="383"/>
      <c r="B161" s="383"/>
      <c r="C161" s="762"/>
      <c r="D161" s="762"/>
      <c r="E161" s="762"/>
      <c r="F161" s="762"/>
      <c r="G161" s="762"/>
      <c r="H161" s="762"/>
      <c r="I161" s="762"/>
      <c r="J161" s="762"/>
      <c r="K161" s="762"/>
      <c r="L161" s="762"/>
      <c r="M161" s="762"/>
      <c r="N161" s="762"/>
    </row>
    <row r="162" spans="1:14" x14ac:dyDescent="0.3">
      <c r="A162" s="383"/>
      <c r="B162" s="383"/>
      <c r="C162" s="383"/>
      <c r="D162" s="383"/>
      <c r="E162" s="383"/>
      <c r="F162" s="383"/>
      <c r="G162" s="383"/>
      <c r="H162" s="383"/>
      <c r="I162" s="383"/>
      <c r="J162" s="383"/>
      <c r="K162" s="383"/>
      <c r="L162" s="383"/>
      <c r="M162" s="383"/>
      <c r="N162" s="383"/>
    </row>
    <row r="163" spans="1:14" x14ac:dyDescent="0.3">
      <c r="A163" s="383"/>
      <c r="B163" s="383"/>
      <c r="C163" s="385" t="s">
        <v>113</v>
      </c>
      <c r="D163" s="383"/>
      <c r="E163" s="383"/>
      <c r="F163" s="383"/>
      <c r="G163" s="383"/>
      <c r="H163" s="383"/>
      <c r="I163" s="383"/>
      <c r="J163" s="383"/>
      <c r="K163" s="383"/>
      <c r="L163" s="383"/>
      <c r="M163" s="383"/>
      <c r="N163" s="383"/>
    </row>
    <row r="164" spans="1:14" ht="15" customHeight="1" x14ac:dyDescent="0.3">
      <c r="A164" s="383"/>
      <c r="B164" s="383"/>
      <c r="C164" s="762" t="s">
        <v>114</v>
      </c>
      <c r="D164" s="762"/>
      <c r="E164" s="762"/>
      <c r="F164" s="762"/>
      <c r="G164" s="762"/>
      <c r="H164" s="762"/>
      <c r="I164" s="762"/>
      <c r="J164" s="762"/>
      <c r="K164" s="762"/>
      <c r="L164" s="762"/>
      <c r="M164" s="762"/>
      <c r="N164" s="762"/>
    </row>
    <row r="165" spans="1:14" x14ac:dyDescent="0.3">
      <c r="A165" s="383"/>
      <c r="B165" s="383"/>
      <c r="C165" s="762"/>
      <c r="D165" s="762"/>
      <c r="E165" s="762"/>
      <c r="F165" s="762"/>
      <c r="G165" s="762"/>
      <c r="H165" s="762"/>
      <c r="I165" s="762"/>
      <c r="J165" s="762"/>
      <c r="K165" s="762"/>
      <c r="L165" s="762"/>
      <c r="M165" s="762"/>
      <c r="N165" s="762"/>
    </row>
    <row r="166" spans="1:14" x14ac:dyDescent="0.3">
      <c r="A166" s="383"/>
      <c r="B166" s="383"/>
      <c r="C166" s="383"/>
      <c r="D166" s="383"/>
      <c r="E166" s="383"/>
      <c r="F166" s="383"/>
      <c r="G166" s="383"/>
      <c r="H166" s="383"/>
      <c r="I166" s="383"/>
      <c r="J166" s="383"/>
      <c r="K166" s="383"/>
      <c r="L166" s="383"/>
      <c r="M166" s="383"/>
      <c r="N166" s="383"/>
    </row>
    <row r="167" spans="1:14" x14ac:dyDescent="0.3">
      <c r="A167" s="383"/>
      <c r="B167" s="383"/>
      <c r="C167" s="385" t="s">
        <v>115</v>
      </c>
      <c r="D167" s="383"/>
      <c r="E167" s="383"/>
      <c r="F167" s="383"/>
      <c r="G167" s="383"/>
      <c r="H167" s="383"/>
      <c r="I167" s="383"/>
      <c r="J167" s="383"/>
      <c r="K167" s="383"/>
      <c r="L167" s="383"/>
      <c r="M167" s="383"/>
      <c r="N167" s="383"/>
    </row>
    <row r="168" spans="1:14" ht="174.75" customHeight="1" x14ac:dyDescent="0.3">
      <c r="A168" s="383"/>
      <c r="B168" s="383"/>
      <c r="C168" s="762" t="s">
        <v>994</v>
      </c>
      <c r="D168" s="762"/>
      <c r="E168" s="762"/>
      <c r="F168" s="762"/>
      <c r="G168" s="762"/>
      <c r="H168" s="762"/>
      <c r="I168" s="762"/>
      <c r="J168" s="762"/>
      <c r="K168" s="762"/>
      <c r="L168" s="762"/>
      <c r="M168" s="762"/>
      <c r="N168" s="762"/>
    </row>
    <row r="169" spans="1:14" x14ac:dyDescent="0.3">
      <c r="A169" s="383"/>
      <c r="B169" s="383"/>
      <c r="C169" s="387"/>
      <c r="D169" s="387"/>
      <c r="E169" s="387"/>
      <c r="F169" s="387"/>
      <c r="G169" s="387"/>
      <c r="H169" s="387"/>
      <c r="I169" s="387"/>
      <c r="J169" s="387"/>
      <c r="K169" s="387"/>
      <c r="L169" s="387"/>
      <c r="M169" s="387"/>
      <c r="N169" s="387"/>
    </row>
    <row r="170" spans="1:14" x14ac:dyDescent="0.3">
      <c r="A170" s="383"/>
      <c r="B170" s="383"/>
      <c r="C170" s="385" t="s">
        <v>116</v>
      </c>
      <c r="D170" s="387"/>
      <c r="E170" s="387"/>
      <c r="F170" s="387"/>
      <c r="G170" s="387"/>
      <c r="H170" s="387"/>
      <c r="I170" s="387"/>
      <c r="J170" s="387"/>
      <c r="K170" s="387"/>
      <c r="L170" s="387"/>
      <c r="M170" s="387"/>
      <c r="N170" s="387"/>
    </row>
    <row r="171" spans="1:14" x14ac:dyDescent="0.3">
      <c r="A171" s="383"/>
      <c r="B171" s="383"/>
      <c r="C171" s="762" t="s">
        <v>117</v>
      </c>
      <c r="D171" s="762"/>
      <c r="E171" s="762"/>
      <c r="F171" s="762"/>
      <c r="G171" s="762"/>
      <c r="H171" s="762"/>
      <c r="I171" s="762"/>
      <c r="J171" s="762"/>
      <c r="K171" s="762"/>
      <c r="L171" s="762"/>
      <c r="M171" s="762"/>
      <c r="N171" s="762"/>
    </row>
    <row r="172" spans="1:14" x14ac:dyDescent="0.3">
      <c r="A172" s="383"/>
      <c r="B172" s="383"/>
      <c r="C172" s="762"/>
      <c r="D172" s="762"/>
      <c r="E172" s="762"/>
      <c r="F172" s="762"/>
      <c r="G172" s="762"/>
      <c r="H172" s="762"/>
      <c r="I172" s="762"/>
      <c r="J172" s="762"/>
      <c r="K172" s="762"/>
      <c r="L172" s="762"/>
      <c r="M172" s="762"/>
      <c r="N172" s="762"/>
    </row>
    <row r="173" spans="1:14" ht="25.5" customHeight="1" x14ac:dyDescent="0.3">
      <c r="A173" s="383"/>
      <c r="B173" s="383"/>
      <c r="C173" s="762"/>
      <c r="D173" s="762"/>
      <c r="E173" s="762"/>
      <c r="F173" s="762"/>
      <c r="G173" s="762"/>
      <c r="H173" s="762"/>
      <c r="I173" s="762"/>
      <c r="J173" s="762"/>
      <c r="K173" s="762"/>
      <c r="L173" s="762"/>
      <c r="M173" s="762"/>
      <c r="N173" s="762"/>
    </row>
    <row r="174" spans="1:14" ht="21.75" customHeight="1" x14ac:dyDescent="0.3">
      <c r="A174" s="383"/>
      <c r="B174" s="383"/>
      <c r="C174" s="762"/>
      <c r="D174" s="762"/>
      <c r="E174" s="762"/>
      <c r="F174" s="762"/>
      <c r="G174" s="762"/>
      <c r="H174" s="762"/>
      <c r="I174" s="762"/>
      <c r="J174" s="762"/>
      <c r="K174" s="762"/>
      <c r="L174" s="762"/>
      <c r="M174" s="762"/>
      <c r="N174" s="762"/>
    </row>
    <row r="175" spans="1:14" ht="25.35" customHeight="1" x14ac:dyDescent="0.3">
      <c r="A175" s="383"/>
      <c r="B175" s="383"/>
      <c r="C175" s="762"/>
      <c r="D175" s="762"/>
      <c r="E175" s="762"/>
      <c r="F175" s="762"/>
      <c r="G175" s="762"/>
      <c r="H175" s="762"/>
      <c r="I175" s="762"/>
      <c r="J175" s="762"/>
      <c r="K175" s="762"/>
      <c r="L175" s="762"/>
      <c r="M175" s="762"/>
      <c r="N175" s="762"/>
    </row>
    <row r="176" spans="1:14" x14ac:dyDescent="0.3">
      <c r="A176" s="383"/>
      <c r="B176" s="383"/>
      <c r="C176" s="383"/>
      <c r="D176" s="383"/>
      <c r="E176" s="383"/>
      <c r="F176" s="383"/>
      <c r="G176" s="383"/>
      <c r="H176" s="383"/>
      <c r="I176" s="383"/>
      <c r="J176" s="383"/>
      <c r="K176" s="383"/>
      <c r="L176" s="383"/>
      <c r="M176" s="383"/>
      <c r="N176" s="383"/>
    </row>
    <row r="177" spans="1:14" ht="91.5" customHeight="1" x14ac:dyDescent="0.3">
      <c r="A177" s="383"/>
      <c r="B177" s="383"/>
      <c r="C177" s="762" t="s">
        <v>995</v>
      </c>
      <c r="D177" s="762"/>
      <c r="E177" s="762"/>
      <c r="F177" s="762"/>
      <c r="G177" s="762"/>
      <c r="H177" s="762"/>
      <c r="I177" s="762"/>
      <c r="J177" s="762"/>
      <c r="K177" s="762"/>
      <c r="L177" s="762"/>
      <c r="M177" s="762"/>
      <c r="N177" s="762"/>
    </row>
    <row r="178" spans="1:14" x14ac:dyDescent="0.3">
      <c r="A178" s="383"/>
      <c r="B178" s="383"/>
      <c r="C178" s="383"/>
      <c r="D178" s="383"/>
      <c r="E178" s="383"/>
      <c r="F178" s="383"/>
      <c r="G178" s="383"/>
      <c r="H178" s="383"/>
      <c r="I178" s="383"/>
      <c r="J178" s="383"/>
      <c r="K178" s="383"/>
      <c r="L178" s="383"/>
      <c r="M178" s="383"/>
      <c r="N178" s="383"/>
    </row>
    <row r="179" spans="1:14" x14ac:dyDescent="0.3">
      <c r="A179" s="383"/>
      <c r="B179" s="383"/>
      <c r="C179" s="385" t="s">
        <v>118</v>
      </c>
      <c r="D179" s="383"/>
      <c r="E179" s="383"/>
      <c r="F179" s="383"/>
      <c r="G179" s="383"/>
      <c r="H179" s="383"/>
      <c r="I179" s="383"/>
      <c r="J179" s="383"/>
      <c r="K179" s="383"/>
      <c r="L179" s="383"/>
      <c r="M179" s="383"/>
      <c r="N179" s="383"/>
    </row>
    <row r="180" spans="1:14" x14ac:dyDescent="0.3">
      <c r="A180" s="383"/>
      <c r="B180" s="383"/>
      <c r="C180" s="775" t="s">
        <v>119</v>
      </c>
      <c r="D180" s="775"/>
      <c r="E180" s="775"/>
      <c r="F180" s="775"/>
      <c r="G180" s="775"/>
      <c r="H180" s="775"/>
      <c r="I180" s="774" t="s">
        <v>123</v>
      </c>
      <c r="J180" s="774"/>
      <c r="K180" s="774"/>
      <c r="L180" s="774"/>
      <c r="M180" s="774"/>
      <c r="N180" s="774"/>
    </row>
    <row r="181" spans="1:14" x14ac:dyDescent="0.3">
      <c r="A181" s="383"/>
      <c r="B181" s="383"/>
      <c r="C181" s="771" t="s">
        <v>120</v>
      </c>
      <c r="D181" s="771"/>
      <c r="E181" s="771"/>
      <c r="F181" s="771"/>
      <c r="G181" s="771"/>
      <c r="H181" s="771"/>
      <c r="I181" s="772" t="s">
        <v>125</v>
      </c>
      <c r="J181" s="773"/>
      <c r="K181" s="773"/>
      <c r="L181" s="773"/>
      <c r="M181" s="773"/>
      <c r="N181" s="773"/>
    </row>
    <row r="182" spans="1:14" x14ac:dyDescent="0.3">
      <c r="A182" s="383"/>
      <c r="B182" s="383"/>
      <c r="C182" s="771" t="s">
        <v>121</v>
      </c>
      <c r="D182" s="771"/>
      <c r="E182" s="771"/>
      <c r="F182" s="771"/>
      <c r="G182" s="771"/>
      <c r="H182" s="771"/>
      <c r="I182" s="773"/>
      <c r="J182" s="773"/>
      <c r="K182" s="773"/>
      <c r="L182" s="773"/>
      <c r="M182" s="773"/>
      <c r="N182" s="773"/>
    </row>
    <row r="183" spans="1:14" x14ac:dyDescent="0.3">
      <c r="A183" s="383"/>
      <c r="B183" s="383"/>
      <c r="C183" s="764" t="s">
        <v>122</v>
      </c>
      <c r="D183" s="771"/>
      <c r="E183" s="771"/>
      <c r="F183" s="771"/>
      <c r="G183" s="771"/>
      <c r="H183" s="771"/>
      <c r="I183" s="772" t="s">
        <v>124</v>
      </c>
      <c r="J183" s="773"/>
      <c r="K183" s="773"/>
      <c r="L183" s="773"/>
      <c r="M183" s="773"/>
      <c r="N183" s="773"/>
    </row>
    <row r="184" spans="1:14" ht="7.5" customHeight="1" x14ac:dyDescent="0.3">
      <c r="A184" s="383"/>
      <c r="B184" s="383"/>
      <c r="C184" s="383"/>
      <c r="D184" s="383"/>
      <c r="E184" s="383"/>
      <c r="F184" s="383"/>
      <c r="G184" s="383"/>
      <c r="H184" s="383"/>
      <c r="I184" s="383"/>
      <c r="J184" s="383"/>
      <c r="K184" s="383"/>
      <c r="L184" s="383"/>
      <c r="M184" s="383"/>
      <c r="N184" s="383"/>
    </row>
    <row r="185" spans="1:14" ht="48" customHeight="1" x14ac:dyDescent="0.3">
      <c r="A185" s="383"/>
      <c r="B185" s="383"/>
      <c r="C185" s="762" t="s">
        <v>126</v>
      </c>
      <c r="D185" s="762"/>
      <c r="E185" s="762"/>
      <c r="F185" s="762"/>
      <c r="G185" s="762"/>
      <c r="H185" s="762"/>
      <c r="I185" s="762"/>
      <c r="J185" s="762"/>
      <c r="K185" s="762"/>
      <c r="L185" s="762"/>
      <c r="M185" s="762"/>
      <c r="N185" s="762"/>
    </row>
    <row r="186" spans="1:14" x14ac:dyDescent="0.3">
      <c r="A186" s="383"/>
      <c r="B186" s="383"/>
      <c r="C186" s="383"/>
      <c r="D186" s="383"/>
      <c r="E186" s="383"/>
      <c r="F186" s="383"/>
      <c r="G186" s="383"/>
      <c r="H186" s="383"/>
      <c r="I186" s="383"/>
      <c r="J186" s="383"/>
      <c r="K186" s="383"/>
      <c r="L186" s="383"/>
      <c r="M186" s="383"/>
      <c r="N186" s="383"/>
    </row>
    <row r="187" spans="1:14" x14ac:dyDescent="0.3">
      <c r="A187" s="383"/>
      <c r="B187" s="389" t="s">
        <v>127</v>
      </c>
      <c r="C187" s="385" t="s">
        <v>128</v>
      </c>
      <c r="D187" s="383"/>
      <c r="E187" s="383"/>
      <c r="F187" s="383"/>
      <c r="G187" s="383"/>
      <c r="H187" s="383"/>
      <c r="I187" s="383"/>
      <c r="J187" s="383"/>
      <c r="K187" s="383"/>
      <c r="L187" s="383"/>
      <c r="M187" s="383"/>
      <c r="N187" s="383"/>
    </row>
    <row r="188" spans="1:14" ht="31.5" customHeight="1" x14ac:dyDescent="0.3">
      <c r="A188" s="383"/>
      <c r="B188" s="383"/>
      <c r="C188" s="762" t="s">
        <v>129</v>
      </c>
      <c r="D188" s="762"/>
      <c r="E188" s="762"/>
      <c r="F188" s="762"/>
      <c r="G188" s="762"/>
      <c r="H188" s="762"/>
      <c r="I188" s="762"/>
      <c r="J188" s="762"/>
      <c r="K188" s="762"/>
      <c r="L188" s="762"/>
      <c r="M188" s="762"/>
      <c r="N188" s="762"/>
    </row>
    <row r="189" spans="1:14" x14ac:dyDescent="0.3">
      <c r="A189" s="383"/>
      <c r="B189" s="383"/>
      <c r="C189" s="383"/>
      <c r="D189" s="383"/>
      <c r="E189" s="383"/>
      <c r="F189" s="383"/>
      <c r="G189" s="383"/>
      <c r="H189" s="383"/>
      <c r="I189" s="383"/>
      <c r="J189" s="383"/>
      <c r="K189" s="383"/>
      <c r="L189" s="383"/>
      <c r="M189" s="383"/>
      <c r="N189" s="383"/>
    </row>
    <row r="190" spans="1:14" x14ac:dyDescent="0.3">
      <c r="A190" s="383"/>
      <c r="B190" s="383"/>
      <c r="C190" s="762" t="s">
        <v>996</v>
      </c>
      <c r="D190" s="762"/>
      <c r="E190" s="762"/>
      <c r="F190" s="762"/>
      <c r="G190" s="762"/>
      <c r="H190" s="762"/>
      <c r="I190" s="762"/>
      <c r="J190" s="762"/>
      <c r="K190" s="762"/>
      <c r="L190" s="762"/>
      <c r="M190" s="762"/>
      <c r="N190" s="762"/>
    </row>
    <row r="191" spans="1:14" x14ac:dyDescent="0.3">
      <c r="A191" s="383"/>
      <c r="B191" s="383"/>
      <c r="C191" s="762"/>
      <c r="D191" s="762"/>
      <c r="E191" s="762"/>
      <c r="F191" s="762"/>
      <c r="G191" s="762"/>
      <c r="H191" s="762"/>
      <c r="I191" s="762"/>
      <c r="J191" s="762"/>
      <c r="K191" s="762"/>
      <c r="L191" s="762"/>
      <c r="M191" s="762"/>
      <c r="N191" s="762"/>
    </row>
    <row r="192" spans="1:14" ht="17.25" customHeight="1" x14ac:dyDescent="0.3">
      <c r="A192" s="383"/>
      <c r="B192" s="383"/>
      <c r="C192" s="762"/>
      <c r="D192" s="762"/>
      <c r="E192" s="762"/>
      <c r="F192" s="762"/>
      <c r="G192" s="762"/>
      <c r="H192" s="762"/>
      <c r="I192" s="762"/>
      <c r="J192" s="762"/>
      <c r="K192" s="762"/>
      <c r="L192" s="762"/>
      <c r="M192" s="762"/>
      <c r="N192" s="762"/>
    </row>
    <row r="193" spans="1:14" ht="45.75" customHeight="1" x14ac:dyDescent="0.3">
      <c r="A193" s="383"/>
      <c r="B193" s="383"/>
      <c r="C193" s="762"/>
      <c r="D193" s="762"/>
      <c r="E193" s="762"/>
      <c r="F193" s="762"/>
      <c r="G193" s="762"/>
      <c r="H193" s="762"/>
      <c r="I193" s="762"/>
      <c r="J193" s="762"/>
      <c r="K193" s="762"/>
      <c r="L193" s="762"/>
      <c r="M193" s="762"/>
      <c r="N193" s="762"/>
    </row>
    <row r="194" spans="1:14" x14ac:dyDescent="0.3">
      <c r="A194" s="383"/>
      <c r="B194" s="383"/>
      <c r="C194" s="383"/>
      <c r="D194" s="383"/>
      <c r="E194" s="383"/>
      <c r="F194" s="383"/>
      <c r="G194" s="383"/>
      <c r="H194" s="383"/>
      <c r="I194" s="383"/>
      <c r="J194" s="383"/>
      <c r="K194" s="383"/>
      <c r="L194" s="383"/>
      <c r="M194" s="383"/>
      <c r="N194" s="383"/>
    </row>
    <row r="195" spans="1:14" x14ac:dyDescent="0.3">
      <c r="A195" s="383"/>
      <c r="B195" s="383"/>
      <c r="C195" s="762" t="s">
        <v>997</v>
      </c>
      <c r="D195" s="762"/>
      <c r="E195" s="762"/>
      <c r="F195" s="762"/>
      <c r="G195" s="762"/>
      <c r="H195" s="762"/>
      <c r="I195" s="762"/>
      <c r="J195" s="762"/>
      <c r="K195" s="762"/>
      <c r="L195" s="762"/>
      <c r="M195" s="762"/>
      <c r="N195" s="762"/>
    </row>
    <row r="196" spans="1:14" ht="30.75" customHeight="1" x14ac:dyDescent="0.3">
      <c r="A196" s="383"/>
      <c r="B196" s="383"/>
      <c r="C196" s="762"/>
      <c r="D196" s="762"/>
      <c r="E196" s="762"/>
      <c r="F196" s="762"/>
      <c r="G196" s="762"/>
      <c r="H196" s="762"/>
      <c r="I196" s="762"/>
      <c r="J196" s="762"/>
      <c r="K196" s="762"/>
      <c r="L196" s="762"/>
      <c r="M196" s="762"/>
      <c r="N196" s="762"/>
    </row>
    <row r="197" spans="1:14" x14ac:dyDescent="0.3">
      <c r="A197" s="383"/>
      <c r="B197" s="383"/>
      <c r="C197" s="383"/>
      <c r="D197" s="383"/>
      <c r="E197" s="383"/>
      <c r="F197" s="383"/>
      <c r="G197" s="383"/>
      <c r="H197" s="383"/>
      <c r="I197" s="383"/>
      <c r="J197" s="383"/>
      <c r="K197" s="383"/>
      <c r="L197" s="383"/>
      <c r="M197" s="383"/>
      <c r="N197" s="383"/>
    </row>
    <row r="198" spans="1:14" x14ac:dyDescent="0.3">
      <c r="A198" s="383"/>
      <c r="B198" s="383"/>
      <c r="C198" s="762" t="s">
        <v>998</v>
      </c>
      <c r="D198" s="762"/>
      <c r="E198" s="762"/>
      <c r="F198" s="762"/>
      <c r="G198" s="762"/>
      <c r="H198" s="762"/>
      <c r="I198" s="762"/>
      <c r="J198" s="762"/>
      <c r="K198" s="762"/>
      <c r="L198" s="762"/>
      <c r="M198" s="762"/>
      <c r="N198" s="762"/>
    </row>
    <row r="199" spans="1:14" ht="13.5" customHeight="1" x14ac:dyDescent="0.3">
      <c r="A199" s="383"/>
      <c r="B199" s="383"/>
      <c r="C199" s="762"/>
      <c r="D199" s="762"/>
      <c r="E199" s="762"/>
      <c r="F199" s="762"/>
      <c r="G199" s="762"/>
      <c r="H199" s="762"/>
      <c r="I199" s="762"/>
      <c r="J199" s="762"/>
      <c r="K199" s="762"/>
      <c r="L199" s="762"/>
      <c r="M199" s="762"/>
      <c r="N199" s="762"/>
    </row>
    <row r="200" spans="1:14" ht="33" customHeight="1" x14ac:dyDescent="0.3">
      <c r="A200" s="383"/>
      <c r="B200" s="383"/>
      <c r="C200" s="762"/>
      <c r="D200" s="762"/>
      <c r="E200" s="762"/>
      <c r="F200" s="762"/>
      <c r="G200" s="762"/>
      <c r="H200" s="762"/>
      <c r="I200" s="762"/>
      <c r="J200" s="762"/>
      <c r="K200" s="762"/>
      <c r="L200" s="762"/>
      <c r="M200" s="762"/>
      <c r="N200" s="762"/>
    </row>
    <row r="201" spans="1:14" x14ac:dyDescent="0.3">
      <c r="A201" s="383"/>
      <c r="B201" s="383"/>
      <c r="C201" s="383"/>
      <c r="D201" s="383"/>
      <c r="E201" s="383"/>
      <c r="F201" s="383"/>
      <c r="G201" s="383"/>
      <c r="H201" s="383"/>
      <c r="I201" s="383"/>
      <c r="J201" s="383"/>
      <c r="K201" s="383"/>
      <c r="L201" s="383"/>
      <c r="M201" s="383"/>
      <c r="N201" s="383"/>
    </row>
    <row r="202" spans="1:14" x14ac:dyDescent="0.3">
      <c r="A202" s="383"/>
      <c r="B202" s="383"/>
      <c r="C202" s="762" t="s">
        <v>999</v>
      </c>
      <c r="D202" s="762"/>
      <c r="E202" s="762"/>
      <c r="F202" s="762"/>
      <c r="G202" s="762"/>
      <c r="H202" s="762"/>
      <c r="I202" s="762"/>
      <c r="J202" s="762"/>
      <c r="K202" s="762"/>
      <c r="L202" s="762"/>
      <c r="M202" s="762"/>
      <c r="N202" s="762"/>
    </row>
    <row r="203" spans="1:14" x14ac:dyDescent="0.3">
      <c r="A203" s="383"/>
      <c r="B203" s="383"/>
      <c r="C203" s="762"/>
      <c r="D203" s="762"/>
      <c r="E203" s="762"/>
      <c r="F203" s="762"/>
      <c r="G203" s="762"/>
      <c r="H203" s="762"/>
      <c r="I203" s="762"/>
      <c r="J203" s="762"/>
      <c r="K203" s="762"/>
      <c r="L203" s="762"/>
      <c r="M203" s="762"/>
      <c r="N203" s="762"/>
    </row>
    <row r="204" spans="1:14" ht="33" customHeight="1" x14ac:dyDescent="0.3">
      <c r="A204" s="383"/>
      <c r="B204" s="383"/>
      <c r="C204" s="762"/>
      <c r="D204" s="762"/>
      <c r="E204" s="762"/>
      <c r="F204" s="762"/>
      <c r="G204" s="762"/>
      <c r="H204" s="762"/>
      <c r="I204" s="762"/>
      <c r="J204" s="762"/>
      <c r="K204" s="762"/>
      <c r="L204" s="762"/>
      <c r="M204" s="762"/>
      <c r="N204" s="762"/>
    </row>
    <row r="205" spans="1:14" x14ac:dyDescent="0.3">
      <c r="A205" s="383"/>
      <c r="B205" s="383"/>
      <c r="C205" s="383"/>
      <c r="D205" s="383"/>
      <c r="E205" s="383"/>
      <c r="F205" s="383"/>
      <c r="G205" s="383"/>
      <c r="H205" s="383"/>
      <c r="I205" s="383"/>
      <c r="J205" s="383"/>
      <c r="K205" s="383"/>
      <c r="L205" s="383"/>
      <c r="M205" s="383"/>
      <c r="N205" s="383"/>
    </row>
    <row r="206" spans="1:14" ht="92.25" customHeight="1" x14ac:dyDescent="0.3">
      <c r="A206" s="383"/>
      <c r="B206" s="383"/>
      <c r="C206" s="762" t="s">
        <v>1000</v>
      </c>
      <c r="D206" s="762"/>
      <c r="E206" s="762"/>
      <c r="F206" s="762"/>
      <c r="G206" s="762"/>
      <c r="H206" s="762"/>
      <c r="I206" s="762"/>
      <c r="J206" s="762"/>
      <c r="K206" s="762"/>
      <c r="L206" s="762"/>
      <c r="M206" s="762"/>
      <c r="N206" s="762"/>
    </row>
    <row r="207" spans="1:14" x14ac:dyDescent="0.3">
      <c r="A207" s="383"/>
      <c r="B207" s="383"/>
      <c r="C207" s="383"/>
      <c r="D207" s="383"/>
      <c r="E207" s="383"/>
      <c r="F207" s="383"/>
      <c r="G207" s="383"/>
      <c r="H207" s="383"/>
      <c r="I207" s="383"/>
      <c r="J207" s="383"/>
      <c r="K207" s="383"/>
      <c r="L207" s="383"/>
      <c r="M207" s="383"/>
      <c r="N207" s="383"/>
    </row>
    <row r="208" spans="1:14" x14ac:dyDescent="0.3">
      <c r="A208" s="383"/>
      <c r="B208" s="389" t="s">
        <v>130</v>
      </c>
      <c r="C208" s="385" t="s">
        <v>131</v>
      </c>
      <c r="D208" s="383"/>
      <c r="E208" s="383"/>
      <c r="F208" s="383"/>
      <c r="G208" s="383"/>
      <c r="H208" s="383"/>
      <c r="I208" s="383"/>
      <c r="J208" s="383"/>
      <c r="K208" s="383"/>
      <c r="L208" s="383"/>
      <c r="M208" s="383"/>
      <c r="N208" s="383"/>
    </row>
    <row r="209" spans="1:14" x14ac:dyDescent="0.3">
      <c r="A209" s="383"/>
      <c r="B209" s="383"/>
      <c r="C209" s="762" t="s">
        <v>132</v>
      </c>
      <c r="D209" s="762"/>
      <c r="E209" s="762"/>
      <c r="F209" s="762"/>
      <c r="G209" s="762"/>
      <c r="H209" s="762"/>
      <c r="I209" s="762"/>
      <c r="J209" s="762"/>
      <c r="K209" s="762"/>
      <c r="L209" s="762"/>
      <c r="M209" s="762"/>
      <c r="N209" s="762"/>
    </row>
    <row r="210" spans="1:14" x14ac:dyDescent="0.3">
      <c r="A210" s="383"/>
      <c r="B210" s="383"/>
      <c r="C210" s="762"/>
      <c r="D210" s="762"/>
      <c r="E210" s="762"/>
      <c r="F210" s="762"/>
      <c r="G210" s="762"/>
      <c r="H210" s="762"/>
      <c r="I210" s="762"/>
      <c r="J210" s="762"/>
      <c r="K210" s="762"/>
      <c r="L210" s="762"/>
      <c r="M210" s="762"/>
      <c r="N210" s="762"/>
    </row>
    <row r="211" spans="1:14" x14ac:dyDescent="0.3">
      <c r="A211" s="383"/>
      <c r="B211" s="383"/>
      <c r="C211" s="762"/>
      <c r="D211" s="762"/>
      <c r="E211" s="762"/>
      <c r="F211" s="762"/>
      <c r="G211" s="762"/>
      <c r="H211" s="762"/>
      <c r="I211" s="762"/>
      <c r="J211" s="762"/>
      <c r="K211" s="762"/>
      <c r="L211" s="762"/>
      <c r="M211" s="762"/>
      <c r="N211" s="762"/>
    </row>
    <row r="212" spans="1:14" x14ac:dyDescent="0.3">
      <c r="A212" s="383"/>
      <c r="B212" s="383"/>
      <c r="C212" s="383"/>
      <c r="D212" s="383"/>
      <c r="E212" s="383"/>
      <c r="F212" s="383"/>
      <c r="G212" s="383"/>
      <c r="H212" s="383"/>
      <c r="I212" s="383"/>
      <c r="J212" s="383"/>
      <c r="K212" s="383"/>
      <c r="L212" s="383"/>
      <c r="M212" s="383"/>
      <c r="N212" s="383"/>
    </row>
    <row r="213" spans="1:14" x14ac:dyDescent="0.3">
      <c r="A213" s="383"/>
      <c r="B213" s="389" t="s">
        <v>136</v>
      </c>
      <c r="C213" s="385" t="s">
        <v>133</v>
      </c>
      <c r="D213" s="383"/>
      <c r="E213" s="383"/>
      <c r="F213" s="383"/>
      <c r="G213" s="383"/>
      <c r="H213" s="383"/>
      <c r="I213" s="383"/>
      <c r="J213" s="383"/>
      <c r="K213" s="383"/>
      <c r="L213" s="383"/>
      <c r="M213" s="383"/>
      <c r="N213" s="383"/>
    </row>
    <row r="214" spans="1:14" x14ac:dyDescent="0.3">
      <c r="A214" s="383"/>
      <c r="B214" s="383"/>
      <c r="C214" s="762" t="s">
        <v>1001</v>
      </c>
      <c r="D214" s="762"/>
      <c r="E214" s="762"/>
      <c r="F214" s="762"/>
      <c r="G214" s="762"/>
      <c r="H214" s="762"/>
      <c r="I214" s="762"/>
      <c r="J214" s="762"/>
      <c r="K214" s="762"/>
      <c r="L214" s="762"/>
      <c r="M214" s="762"/>
      <c r="N214" s="762"/>
    </row>
    <row r="215" spans="1:14" x14ac:dyDescent="0.3">
      <c r="A215" s="383"/>
      <c r="B215" s="383"/>
      <c r="C215" s="762"/>
      <c r="D215" s="762"/>
      <c r="E215" s="762"/>
      <c r="F215" s="762"/>
      <c r="G215" s="762"/>
      <c r="H215" s="762"/>
      <c r="I215" s="762"/>
      <c r="J215" s="762"/>
      <c r="K215" s="762"/>
      <c r="L215" s="762"/>
      <c r="M215" s="762"/>
      <c r="N215" s="762"/>
    </row>
    <row r="216" spans="1:14" ht="30.75" customHeight="1" x14ac:dyDescent="0.3">
      <c r="A216" s="383"/>
      <c r="B216" s="383"/>
      <c r="C216" s="762"/>
      <c r="D216" s="762"/>
      <c r="E216" s="762"/>
      <c r="F216" s="762"/>
      <c r="G216" s="762"/>
      <c r="H216" s="762"/>
      <c r="I216" s="762"/>
      <c r="J216" s="762"/>
      <c r="K216" s="762"/>
      <c r="L216" s="762"/>
      <c r="M216" s="762"/>
      <c r="N216" s="762"/>
    </row>
    <row r="217" spans="1:14" ht="30" customHeight="1" x14ac:dyDescent="0.3">
      <c r="A217" s="383"/>
      <c r="B217" s="383"/>
      <c r="C217" s="762"/>
      <c r="D217" s="762"/>
      <c r="E217" s="762"/>
      <c r="F217" s="762"/>
      <c r="G217" s="762"/>
      <c r="H217" s="762"/>
      <c r="I217" s="762"/>
      <c r="J217" s="762"/>
      <c r="K217" s="762"/>
      <c r="L217" s="762"/>
      <c r="M217" s="762"/>
      <c r="N217" s="762"/>
    </row>
    <row r="218" spans="1:14" x14ac:dyDescent="0.3">
      <c r="A218" s="383"/>
      <c r="B218" s="383"/>
      <c r="C218" s="387"/>
      <c r="D218" s="387"/>
      <c r="E218" s="387"/>
      <c r="F218" s="387"/>
      <c r="G218" s="387"/>
      <c r="H218" s="387"/>
      <c r="I218" s="387"/>
      <c r="J218" s="387"/>
      <c r="K218" s="387"/>
      <c r="L218" s="387"/>
      <c r="M218" s="387"/>
      <c r="N218" s="387"/>
    </row>
    <row r="219" spans="1:14" ht="100.5" customHeight="1" x14ac:dyDescent="0.3">
      <c r="A219" s="383"/>
      <c r="B219" s="385"/>
      <c r="C219" s="762" t="s">
        <v>1002</v>
      </c>
      <c r="D219" s="762"/>
      <c r="E219" s="762"/>
      <c r="F219" s="762"/>
      <c r="G219" s="762"/>
      <c r="H219" s="762"/>
      <c r="I219" s="762"/>
      <c r="J219" s="762"/>
      <c r="K219" s="762"/>
      <c r="L219" s="762"/>
      <c r="M219" s="762"/>
      <c r="N219" s="762"/>
    </row>
    <row r="220" spans="1:14" x14ac:dyDescent="0.3">
      <c r="A220" s="383"/>
      <c r="B220" s="383"/>
      <c r="C220" s="387"/>
      <c r="D220" s="387"/>
      <c r="E220" s="387"/>
      <c r="F220" s="387"/>
      <c r="G220" s="387"/>
      <c r="H220" s="387"/>
      <c r="I220" s="387"/>
      <c r="J220" s="387"/>
      <c r="K220" s="387"/>
      <c r="L220" s="387"/>
      <c r="M220" s="387"/>
      <c r="N220" s="387"/>
    </row>
    <row r="221" spans="1:14" x14ac:dyDescent="0.3">
      <c r="A221" s="383"/>
      <c r="B221" s="385"/>
      <c r="C221" s="389" t="s">
        <v>137</v>
      </c>
      <c r="D221" s="383"/>
      <c r="E221" s="383"/>
      <c r="F221" s="383"/>
      <c r="G221" s="383"/>
      <c r="H221" s="383"/>
      <c r="I221" s="383"/>
      <c r="J221" s="383"/>
      <c r="K221" s="383"/>
      <c r="L221" s="383"/>
      <c r="M221" s="383"/>
      <c r="N221" s="383"/>
    </row>
    <row r="222" spans="1:14" x14ac:dyDescent="0.3">
      <c r="A222" s="383"/>
      <c r="B222" s="383"/>
      <c r="C222" s="762" t="s">
        <v>151</v>
      </c>
      <c r="D222" s="762"/>
      <c r="E222" s="762"/>
      <c r="F222" s="762"/>
      <c r="G222" s="762"/>
      <c r="H222" s="762"/>
      <c r="I222" s="762"/>
      <c r="J222" s="762"/>
      <c r="K222" s="762"/>
      <c r="L222" s="762"/>
      <c r="M222" s="762"/>
      <c r="N222" s="762"/>
    </row>
    <row r="223" spans="1:14" x14ac:dyDescent="0.3">
      <c r="A223" s="383"/>
      <c r="B223" s="383"/>
      <c r="C223" s="762"/>
      <c r="D223" s="762"/>
      <c r="E223" s="762"/>
      <c r="F223" s="762"/>
      <c r="G223" s="762"/>
      <c r="H223" s="762"/>
      <c r="I223" s="762"/>
      <c r="J223" s="762"/>
      <c r="K223" s="762"/>
      <c r="L223" s="762"/>
      <c r="M223" s="762"/>
      <c r="N223" s="762"/>
    </row>
    <row r="224" spans="1:14" x14ac:dyDescent="0.3">
      <c r="A224" s="383"/>
      <c r="B224" s="383"/>
      <c r="C224" s="762" t="s">
        <v>152</v>
      </c>
      <c r="D224" s="762"/>
      <c r="E224" s="762"/>
      <c r="F224" s="762"/>
      <c r="G224" s="762"/>
      <c r="H224" s="762"/>
      <c r="I224" s="762"/>
      <c r="J224" s="762"/>
      <c r="K224" s="762"/>
      <c r="L224" s="762"/>
      <c r="M224" s="762"/>
      <c r="N224" s="762"/>
    </row>
    <row r="225" spans="1:14" x14ac:dyDescent="0.3">
      <c r="A225" s="383"/>
      <c r="B225" s="383"/>
      <c r="C225" s="762"/>
      <c r="D225" s="762"/>
      <c r="E225" s="762"/>
      <c r="F225" s="762"/>
      <c r="G225" s="762"/>
      <c r="H225" s="762"/>
      <c r="I225" s="762"/>
      <c r="J225" s="762"/>
      <c r="K225" s="762"/>
      <c r="L225" s="762"/>
      <c r="M225" s="762"/>
      <c r="N225" s="762"/>
    </row>
    <row r="226" spans="1:14" x14ac:dyDescent="0.3">
      <c r="A226" s="383"/>
      <c r="B226" s="383"/>
      <c r="C226" s="762"/>
      <c r="D226" s="762"/>
      <c r="E226" s="762"/>
      <c r="F226" s="762"/>
      <c r="G226" s="762"/>
      <c r="H226" s="762"/>
      <c r="I226" s="762"/>
      <c r="J226" s="762"/>
      <c r="K226" s="762"/>
      <c r="L226" s="762"/>
      <c r="M226" s="762"/>
      <c r="N226" s="762"/>
    </row>
    <row r="227" spans="1:14" x14ac:dyDescent="0.3">
      <c r="A227" s="383"/>
      <c r="B227" s="383"/>
      <c r="C227" s="762"/>
      <c r="D227" s="762"/>
      <c r="E227" s="762"/>
      <c r="F227" s="762"/>
      <c r="G227" s="762"/>
      <c r="H227" s="762"/>
      <c r="I227" s="762"/>
      <c r="J227" s="762"/>
      <c r="K227" s="762"/>
      <c r="L227" s="762"/>
      <c r="M227" s="762"/>
      <c r="N227" s="762"/>
    </row>
    <row r="228" spans="1:14" x14ac:dyDescent="0.3">
      <c r="A228" s="383"/>
      <c r="B228" s="383"/>
      <c r="C228" s="762"/>
      <c r="D228" s="762"/>
      <c r="E228" s="762"/>
      <c r="F228" s="762"/>
      <c r="G228" s="762"/>
      <c r="H228" s="762"/>
      <c r="I228" s="762"/>
      <c r="J228" s="762"/>
      <c r="K228" s="762"/>
      <c r="L228" s="762"/>
      <c r="M228" s="762"/>
      <c r="N228" s="762"/>
    </row>
    <row r="229" spans="1:14" x14ac:dyDescent="0.3">
      <c r="A229" s="383"/>
      <c r="B229" s="383"/>
      <c r="C229" s="762"/>
      <c r="D229" s="762"/>
      <c r="E229" s="762"/>
      <c r="F229" s="762"/>
      <c r="G229" s="762"/>
      <c r="H229" s="762"/>
      <c r="I229" s="762"/>
      <c r="J229" s="762"/>
      <c r="K229" s="762"/>
      <c r="L229" s="762"/>
      <c r="M229" s="762"/>
      <c r="N229" s="762"/>
    </row>
    <row r="230" spans="1:14" x14ac:dyDescent="0.3">
      <c r="A230" s="383"/>
      <c r="B230" s="383"/>
      <c r="C230" s="762"/>
      <c r="D230" s="762"/>
      <c r="E230" s="762"/>
      <c r="F230" s="762"/>
      <c r="G230" s="762"/>
      <c r="H230" s="762"/>
      <c r="I230" s="762"/>
      <c r="J230" s="762"/>
      <c r="K230" s="762"/>
      <c r="L230" s="762"/>
      <c r="M230" s="762"/>
      <c r="N230" s="762"/>
    </row>
    <row r="231" spans="1:14" x14ac:dyDescent="0.3">
      <c r="A231" s="383"/>
      <c r="B231" s="383"/>
      <c r="C231" s="762"/>
      <c r="D231" s="762"/>
      <c r="E231" s="762"/>
      <c r="F231" s="762"/>
      <c r="G231" s="762"/>
      <c r="H231" s="762"/>
      <c r="I231" s="762"/>
      <c r="J231" s="762"/>
      <c r="K231" s="762"/>
      <c r="L231" s="762"/>
      <c r="M231" s="762"/>
      <c r="N231" s="762"/>
    </row>
    <row r="232" spans="1:14" x14ac:dyDescent="0.3">
      <c r="A232" s="383"/>
      <c r="B232" s="383"/>
      <c r="C232" s="762"/>
      <c r="D232" s="762"/>
      <c r="E232" s="762"/>
      <c r="F232" s="762"/>
      <c r="G232" s="762"/>
      <c r="H232" s="762"/>
      <c r="I232" s="762"/>
      <c r="J232" s="762"/>
      <c r="K232" s="762"/>
      <c r="L232" s="762"/>
      <c r="M232" s="762"/>
      <c r="N232" s="762"/>
    </row>
    <row r="233" spans="1:14" x14ac:dyDescent="0.3">
      <c r="A233" s="383"/>
      <c r="B233" s="383"/>
      <c r="C233" s="762"/>
      <c r="D233" s="762"/>
      <c r="E233" s="762"/>
      <c r="F233" s="762"/>
      <c r="G233" s="762"/>
      <c r="H233" s="762"/>
      <c r="I233" s="762"/>
      <c r="J233" s="762"/>
      <c r="K233" s="762"/>
      <c r="L233" s="762"/>
      <c r="M233" s="762"/>
      <c r="N233" s="762"/>
    </row>
    <row r="234" spans="1:14" x14ac:dyDescent="0.3">
      <c r="A234" s="383"/>
      <c r="B234" s="383"/>
      <c r="C234" s="762"/>
      <c r="D234" s="762"/>
      <c r="E234" s="762"/>
      <c r="F234" s="762"/>
      <c r="G234" s="762"/>
      <c r="H234" s="762"/>
      <c r="I234" s="762"/>
      <c r="J234" s="762"/>
      <c r="K234" s="762"/>
      <c r="L234" s="762"/>
      <c r="M234" s="762"/>
      <c r="N234" s="762"/>
    </row>
    <row r="235" spans="1:14" ht="47.25" customHeight="1" x14ac:dyDescent="0.3">
      <c r="A235" s="383"/>
      <c r="B235" s="383"/>
      <c r="C235" s="762"/>
      <c r="D235" s="762"/>
      <c r="E235" s="762"/>
      <c r="F235" s="762"/>
      <c r="G235" s="762"/>
      <c r="H235" s="762"/>
      <c r="I235" s="762"/>
      <c r="J235" s="762"/>
      <c r="K235" s="762"/>
      <c r="L235" s="762"/>
      <c r="M235" s="762"/>
      <c r="N235" s="762"/>
    </row>
    <row r="236" spans="1:14" x14ac:dyDescent="0.3">
      <c r="A236" s="383"/>
      <c r="B236" s="383"/>
      <c r="C236" s="383"/>
      <c r="D236" s="383"/>
      <c r="E236" s="383"/>
      <c r="F236" s="383"/>
      <c r="G236" s="383"/>
      <c r="H236" s="383"/>
      <c r="I236" s="383"/>
      <c r="J236" s="383"/>
      <c r="K236" s="383"/>
      <c r="L236" s="383"/>
      <c r="M236" s="383"/>
      <c r="N236" s="383"/>
    </row>
    <row r="237" spans="1:14" x14ac:dyDescent="0.3">
      <c r="A237" s="383"/>
      <c r="B237" s="383"/>
      <c r="C237" s="762" t="s">
        <v>1003</v>
      </c>
      <c r="D237" s="762"/>
      <c r="E237" s="762"/>
      <c r="F237" s="762"/>
      <c r="G237" s="762"/>
      <c r="H237" s="762"/>
      <c r="I237" s="762"/>
      <c r="J237" s="762"/>
      <c r="K237" s="762"/>
      <c r="L237" s="762"/>
      <c r="M237" s="762"/>
      <c r="N237" s="762"/>
    </row>
    <row r="238" spans="1:14" x14ac:dyDescent="0.3">
      <c r="A238" s="383"/>
      <c r="B238" s="383"/>
      <c r="C238" s="762"/>
      <c r="D238" s="762"/>
      <c r="E238" s="762"/>
      <c r="F238" s="762"/>
      <c r="G238" s="762"/>
      <c r="H238" s="762"/>
      <c r="I238" s="762"/>
      <c r="J238" s="762"/>
      <c r="K238" s="762"/>
      <c r="L238" s="762"/>
      <c r="M238" s="762"/>
      <c r="N238" s="762"/>
    </row>
    <row r="239" spans="1:14" x14ac:dyDescent="0.3">
      <c r="A239" s="383"/>
      <c r="B239" s="383"/>
      <c r="C239" s="762"/>
      <c r="D239" s="762"/>
      <c r="E239" s="762"/>
      <c r="F239" s="762"/>
      <c r="G239" s="762"/>
      <c r="H239" s="762"/>
      <c r="I239" s="762"/>
      <c r="J239" s="762"/>
      <c r="K239" s="762"/>
      <c r="L239" s="762"/>
      <c r="M239" s="762"/>
      <c r="N239" s="762"/>
    </row>
    <row r="240" spans="1:14" ht="36.75" customHeight="1" x14ac:dyDescent="0.3">
      <c r="A240" s="383"/>
      <c r="B240" s="383"/>
      <c r="C240" s="762"/>
      <c r="D240" s="762"/>
      <c r="E240" s="762"/>
      <c r="F240" s="762"/>
      <c r="G240" s="762"/>
      <c r="H240" s="762"/>
      <c r="I240" s="762"/>
      <c r="J240" s="762"/>
      <c r="K240" s="762"/>
      <c r="L240" s="762"/>
      <c r="M240" s="762"/>
      <c r="N240" s="762"/>
    </row>
    <row r="241" spans="1:14" ht="24.75" customHeight="1" x14ac:dyDescent="0.3">
      <c r="A241" s="383"/>
      <c r="B241" s="383"/>
      <c r="C241" s="762"/>
      <c r="D241" s="762"/>
      <c r="E241" s="762"/>
      <c r="F241" s="762"/>
      <c r="G241" s="762"/>
      <c r="H241" s="762"/>
      <c r="I241" s="762"/>
      <c r="J241" s="762"/>
      <c r="K241" s="762"/>
      <c r="L241" s="762"/>
      <c r="M241" s="762"/>
      <c r="N241" s="762"/>
    </row>
    <row r="242" spans="1:14" x14ac:dyDescent="0.3">
      <c r="A242" s="383"/>
      <c r="B242" s="383"/>
      <c r="C242" s="383"/>
      <c r="D242" s="383"/>
      <c r="E242" s="383"/>
      <c r="F242" s="383"/>
      <c r="G242" s="383"/>
      <c r="H242" s="383"/>
      <c r="I242" s="383"/>
      <c r="J242" s="383"/>
      <c r="K242" s="383"/>
      <c r="L242" s="383"/>
      <c r="M242" s="383"/>
      <c r="N242" s="383"/>
    </row>
    <row r="243" spans="1:14" x14ac:dyDescent="0.3">
      <c r="A243" s="383"/>
      <c r="B243" s="385" t="s">
        <v>134</v>
      </c>
      <c r="C243" s="385" t="s">
        <v>138</v>
      </c>
      <c r="D243" s="383"/>
      <c r="E243" s="383"/>
      <c r="F243" s="383"/>
      <c r="G243" s="383"/>
      <c r="H243" s="383"/>
      <c r="I243" s="383"/>
      <c r="J243" s="383"/>
      <c r="K243" s="383"/>
      <c r="L243" s="383"/>
      <c r="M243" s="383"/>
      <c r="N243" s="383"/>
    </row>
    <row r="244" spans="1:14" x14ac:dyDescent="0.3">
      <c r="A244" s="383"/>
      <c r="B244" s="383"/>
      <c r="C244" s="385" t="s">
        <v>139</v>
      </c>
      <c r="D244" s="383"/>
      <c r="E244" s="383"/>
      <c r="F244" s="383"/>
      <c r="G244" s="383"/>
      <c r="H244" s="383"/>
      <c r="I244" s="383"/>
      <c r="J244" s="383"/>
      <c r="K244" s="383"/>
      <c r="L244" s="383"/>
      <c r="M244" s="383"/>
      <c r="N244" s="383"/>
    </row>
    <row r="245" spans="1:14" x14ac:dyDescent="0.3">
      <c r="A245" s="383"/>
      <c r="B245" s="383"/>
      <c r="C245" s="762" t="s">
        <v>140</v>
      </c>
      <c r="D245" s="762"/>
      <c r="E245" s="762"/>
      <c r="F245" s="762"/>
      <c r="G245" s="762"/>
      <c r="H245" s="762"/>
      <c r="I245" s="762"/>
      <c r="J245" s="762"/>
      <c r="K245" s="762"/>
      <c r="L245" s="762"/>
      <c r="M245" s="762"/>
      <c r="N245" s="762"/>
    </row>
    <row r="246" spans="1:14" x14ac:dyDescent="0.3">
      <c r="A246" s="383"/>
      <c r="B246" s="383"/>
      <c r="C246" s="762"/>
      <c r="D246" s="762"/>
      <c r="E246" s="762"/>
      <c r="F246" s="762"/>
      <c r="G246" s="762"/>
      <c r="H246" s="762"/>
      <c r="I246" s="762"/>
      <c r="J246" s="762"/>
      <c r="K246" s="762"/>
      <c r="L246" s="762"/>
      <c r="M246" s="762"/>
      <c r="N246" s="762"/>
    </row>
    <row r="247" spans="1:14" x14ac:dyDescent="0.3">
      <c r="A247" s="383"/>
      <c r="B247" s="383"/>
      <c r="C247" s="762"/>
      <c r="D247" s="762"/>
      <c r="E247" s="762"/>
      <c r="F247" s="762"/>
      <c r="G247" s="762"/>
      <c r="H247" s="762"/>
      <c r="I247" s="762"/>
      <c r="J247" s="762"/>
      <c r="K247" s="762"/>
      <c r="L247" s="762"/>
      <c r="M247" s="762"/>
      <c r="N247" s="762"/>
    </row>
    <row r="248" spans="1:14" ht="61.5" customHeight="1" x14ac:dyDescent="0.3">
      <c r="A248" s="383"/>
      <c r="B248" s="383"/>
      <c r="C248" s="762"/>
      <c r="D248" s="762"/>
      <c r="E248" s="762"/>
      <c r="F248" s="762"/>
      <c r="G248" s="762"/>
      <c r="H248" s="762"/>
      <c r="I248" s="762"/>
      <c r="J248" s="762"/>
      <c r="K248" s="762"/>
      <c r="L248" s="762"/>
      <c r="M248" s="762"/>
      <c r="N248" s="762"/>
    </row>
    <row r="249" spans="1:14" x14ac:dyDescent="0.3">
      <c r="A249" s="383"/>
      <c r="B249" s="383"/>
      <c r="C249" s="383" t="s">
        <v>147</v>
      </c>
      <c r="D249" s="383"/>
      <c r="E249" s="383"/>
      <c r="F249" s="383"/>
      <c r="G249" s="383"/>
      <c r="H249" s="383"/>
      <c r="I249" s="383"/>
      <c r="J249" s="383"/>
      <c r="K249" s="383"/>
      <c r="L249" s="383"/>
      <c r="M249" s="383"/>
      <c r="N249" s="383"/>
    </row>
    <row r="250" spans="1:14" x14ac:dyDescent="0.3">
      <c r="A250" s="383"/>
      <c r="B250" s="383"/>
      <c r="C250" s="383"/>
      <c r="D250" s="383"/>
      <c r="E250" s="383"/>
      <c r="F250" s="383"/>
      <c r="G250" s="383"/>
      <c r="H250" s="383"/>
      <c r="I250" s="383"/>
      <c r="J250" s="383"/>
      <c r="K250" s="383"/>
      <c r="L250" s="383"/>
      <c r="M250" s="383"/>
      <c r="N250" s="383"/>
    </row>
    <row r="251" spans="1:14" x14ac:dyDescent="0.3">
      <c r="A251" s="383"/>
      <c r="B251" s="385" t="s">
        <v>135</v>
      </c>
      <c r="C251" s="385" t="s">
        <v>141</v>
      </c>
      <c r="D251" s="383"/>
      <c r="E251" s="383"/>
      <c r="F251" s="383"/>
      <c r="G251" s="383"/>
      <c r="H251" s="383"/>
      <c r="I251" s="383"/>
      <c r="J251" s="383"/>
      <c r="K251" s="383"/>
      <c r="L251" s="383"/>
      <c r="M251" s="383"/>
      <c r="N251" s="383"/>
    </row>
    <row r="252" spans="1:14" x14ac:dyDescent="0.3">
      <c r="A252" s="383"/>
      <c r="B252" s="383"/>
      <c r="C252" s="762" t="s">
        <v>142</v>
      </c>
      <c r="D252" s="762"/>
      <c r="E252" s="762"/>
      <c r="F252" s="762"/>
      <c r="G252" s="762"/>
      <c r="H252" s="762"/>
      <c r="I252" s="762"/>
      <c r="J252" s="762"/>
      <c r="K252" s="762"/>
      <c r="L252" s="762"/>
      <c r="M252" s="762"/>
      <c r="N252" s="762"/>
    </row>
    <row r="253" spans="1:14" x14ac:dyDescent="0.3">
      <c r="A253" s="383"/>
      <c r="B253" s="383"/>
      <c r="C253" s="762"/>
      <c r="D253" s="762"/>
      <c r="E253" s="762"/>
      <c r="F253" s="762"/>
      <c r="G253" s="762"/>
      <c r="H253" s="762"/>
      <c r="I253" s="762"/>
      <c r="J253" s="762"/>
      <c r="K253" s="762"/>
      <c r="L253" s="762"/>
      <c r="M253" s="762"/>
      <c r="N253" s="762"/>
    </row>
    <row r="254" spans="1:14" x14ac:dyDescent="0.3">
      <c r="A254" s="383"/>
      <c r="B254" s="383"/>
      <c r="C254" s="762"/>
      <c r="D254" s="762"/>
      <c r="E254" s="762"/>
      <c r="F254" s="762"/>
      <c r="G254" s="762"/>
      <c r="H254" s="762"/>
      <c r="I254" s="762"/>
      <c r="J254" s="762"/>
      <c r="K254" s="762"/>
      <c r="L254" s="762"/>
      <c r="M254" s="762"/>
      <c r="N254" s="762"/>
    </row>
    <row r="255" spans="1:14" ht="18" customHeight="1" x14ac:dyDescent="0.3">
      <c r="A255" s="383"/>
      <c r="B255" s="383"/>
      <c r="C255" s="762"/>
      <c r="D255" s="762"/>
      <c r="E255" s="762"/>
      <c r="F255" s="762"/>
      <c r="G255" s="762"/>
      <c r="H255" s="762"/>
      <c r="I255" s="762"/>
      <c r="J255" s="762"/>
      <c r="K255" s="762"/>
      <c r="L255" s="762"/>
      <c r="M255" s="762"/>
      <c r="N255" s="762"/>
    </row>
    <row r="256" spans="1:14" x14ac:dyDescent="0.3">
      <c r="A256" s="383"/>
      <c r="B256" s="383"/>
      <c r="C256" s="383"/>
      <c r="D256" s="383"/>
      <c r="E256" s="383"/>
      <c r="F256" s="383"/>
      <c r="G256" s="383"/>
      <c r="H256" s="383"/>
      <c r="I256" s="383"/>
      <c r="J256" s="383"/>
      <c r="K256" s="383"/>
      <c r="L256" s="383"/>
      <c r="M256" s="383"/>
      <c r="N256" s="383"/>
    </row>
    <row r="257" spans="1:14" x14ac:dyDescent="0.3">
      <c r="A257" s="383"/>
      <c r="B257" s="385" t="s">
        <v>144</v>
      </c>
      <c r="C257" s="385" t="s">
        <v>143</v>
      </c>
      <c r="D257" s="383"/>
      <c r="E257" s="383"/>
      <c r="F257" s="383"/>
      <c r="G257" s="383"/>
      <c r="H257" s="383"/>
      <c r="I257" s="383"/>
      <c r="J257" s="383"/>
      <c r="K257" s="383"/>
      <c r="L257" s="383"/>
      <c r="M257" s="383"/>
      <c r="N257" s="383"/>
    </row>
    <row r="258" spans="1:14" ht="47.25" customHeight="1" x14ac:dyDescent="0.3">
      <c r="A258" s="383"/>
      <c r="B258" s="383"/>
      <c r="C258" s="762" t="s">
        <v>1004</v>
      </c>
      <c r="D258" s="762"/>
      <c r="E258" s="762"/>
      <c r="F258" s="762"/>
      <c r="G258" s="762"/>
      <c r="H258" s="762"/>
      <c r="I258" s="762"/>
      <c r="J258" s="762"/>
      <c r="K258" s="762"/>
      <c r="L258" s="762"/>
      <c r="M258" s="762"/>
      <c r="N258" s="762"/>
    </row>
    <row r="259" spans="1:14" x14ac:dyDescent="0.3">
      <c r="A259" s="383"/>
      <c r="B259" s="383"/>
      <c r="C259" s="762" t="s">
        <v>1005</v>
      </c>
      <c r="D259" s="762"/>
      <c r="E259" s="762"/>
      <c r="F259" s="762"/>
      <c r="G259" s="762"/>
      <c r="H259" s="762"/>
      <c r="I259" s="762"/>
      <c r="J259" s="762"/>
      <c r="K259" s="762"/>
      <c r="L259" s="762"/>
      <c r="M259" s="762"/>
      <c r="N259" s="762"/>
    </row>
    <row r="260" spans="1:14" x14ac:dyDescent="0.3">
      <c r="A260" s="383"/>
      <c r="B260" s="383"/>
      <c r="C260" s="762"/>
      <c r="D260" s="762"/>
      <c r="E260" s="762"/>
      <c r="F260" s="762"/>
      <c r="G260" s="762"/>
      <c r="H260" s="762"/>
      <c r="I260" s="762"/>
      <c r="J260" s="762"/>
      <c r="K260" s="762"/>
      <c r="L260" s="762"/>
      <c r="M260" s="762"/>
      <c r="N260" s="762"/>
    </row>
    <row r="261" spans="1:14" x14ac:dyDescent="0.3">
      <c r="A261" s="383"/>
      <c r="B261" s="383"/>
      <c r="C261" s="762"/>
      <c r="D261" s="762"/>
      <c r="E261" s="762"/>
      <c r="F261" s="762"/>
      <c r="G261" s="762"/>
      <c r="H261" s="762"/>
      <c r="I261" s="762"/>
      <c r="J261" s="762"/>
      <c r="K261" s="762"/>
      <c r="L261" s="762"/>
      <c r="M261" s="762"/>
      <c r="N261" s="762"/>
    </row>
    <row r="262" spans="1:14" ht="48" customHeight="1" x14ac:dyDescent="0.3">
      <c r="A262" s="383"/>
      <c r="B262" s="383"/>
      <c r="C262" s="762"/>
      <c r="D262" s="762"/>
      <c r="E262" s="762"/>
      <c r="F262" s="762"/>
      <c r="G262" s="762"/>
      <c r="H262" s="762"/>
      <c r="I262" s="762"/>
      <c r="J262" s="762"/>
      <c r="K262" s="762"/>
      <c r="L262" s="762"/>
      <c r="M262" s="762"/>
      <c r="N262" s="762"/>
    </row>
    <row r="263" spans="1:14" x14ac:dyDescent="0.3">
      <c r="A263" s="383"/>
      <c r="B263" s="383"/>
      <c r="C263" s="762" t="s">
        <v>1006</v>
      </c>
      <c r="D263" s="762"/>
      <c r="E263" s="762"/>
      <c r="F263" s="762"/>
      <c r="G263" s="762"/>
      <c r="H263" s="762"/>
      <c r="I263" s="762"/>
      <c r="J263" s="762"/>
      <c r="K263" s="762"/>
      <c r="L263" s="762"/>
      <c r="M263" s="762"/>
      <c r="N263" s="762"/>
    </row>
    <row r="264" spans="1:14" x14ac:dyDescent="0.3">
      <c r="A264" s="383"/>
      <c r="B264" s="383"/>
      <c r="C264" s="762"/>
      <c r="D264" s="762"/>
      <c r="E264" s="762"/>
      <c r="F264" s="762"/>
      <c r="G264" s="762"/>
      <c r="H264" s="762"/>
      <c r="I264" s="762"/>
      <c r="J264" s="762"/>
      <c r="K264" s="762"/>
      <c r="L264" s="762"/>
      <c r="M264" s="762"/>
      <c r="N264" s="762"/>
    </row>
    <row r="265" spans="1:14" x14ac:dyDescent="0.3">
      <c r="A265" s="383"/>
      <c r="B265" s="383"/>
      <c r="C265" s="762"/>
      <c r="D265" s="762"/>
      <c r="E265" s="762"/>
      <c r="F265" s="762"/>
      <c r="G265" s="762"/>
      <c r="H265" s="762"/>
      <c r="I265" s="762"/>
      <c r="J265" s="762"/>
      <c r="K265" s="762"/>
      <c r="L265" s="762"/>
      <c r="M265" s="762"/>
      <c r="N265" s="762"/>
    </row>
    <row r="266" spans="1:14" x14ac:dyDescent="0.3">
      <c r="A266" s="383"/>
      <c r="B266" s="383"/>
      <c r="C266" s="762"/>
      <c r="D266" s="762"/>
      <c r="E266" s="762"/>
      <c r="F266" s="762"/>
      <c r="G266" s="762"/>
      <c r="H266" s="762"/>
      <c r="I266" s="762"/>
      <c r="J266" s="762"/>
      <c r="K266" s="762"/>
      <c r="L266" s="762"/>
      <c r="M266" s="762"/>
      <c r="N266" s="762"/>
    </row>
    <row r="267" spans="1:14" ht="44.25" customHeight="1" x14ac:dyDescent="0.3">
      <c r="A267" s="383"/>
      <c r="B267" s="383"/>
      <c r="C267" s="762"/>
      <c r="D267" s="762"/>
      <c r="E267" s="762"/>
      <c r="F267" s="762"/>
      <c r="G267" s="762"/>
      <c r="H267" s="762"/>
      <c r="I267" s="762"/>
      <c r="J267" s="762"/>
      <c r="K267" s="762"/>
      <c r="L267" s="762"/>
      <c r="M267" s="762"/>
      <c r="N267" s="762"/>
    </row>
    <row r="268" spans="1:14" ht="49.5" customHeight="1" x14ac:dyDescent="0.3">
      <c r="A268" s="383"/>
      <c r="B268" s="383"/>
      <c r="C268" s="762"/>
      <c r="D268" s="762"/>
      <c r="E268" s="762"/>
      <c r="F268" s="762"/>
      <c r="G268" s="762"/>
      <c r="H268" s="762"/>
      <c r="I268" s="762"/>
      <c r="J268" s="762"/>
      <c r="K268" s="762"/>
      <c r="L268" s="762"/>
      <c r="M268" s="762"/>
      <c r="N268" s="762"/>
    </row>
    <row r="269" spans="1:14" x14ac:dyDescent="0.3">
      <c r="A269" s="383"/>
      <c r="B269" s="383"/>
      <c r="C269" s="383"/>
      <c r="D269" s="383"/>
      <c r="E269" s="383"/>
      <c r="F269" s="383"/>
      <c r="G269" s="383"/>
      <c r="H269" s="383"/>
      <c r="I269" s="383"/>
      <c r="J269" s="383"/>
      <c r="K269" s="383"/>
      <c r="L269" s="383"/>
      <c r="M269" s="383"/>
      <c r="N269" s="383"/>
    </row>
    <row r="270" spans="1:14" x14ac:dyDescent="0.3">
      <c r="A270" s="383"/>
      <c r="B270" s="385" t="s">
        <v>146</v>
      </c>
      <c r="C270" s="385" t="s">
        <v>145</v>
      </c>
      <c r="D270" s="383"/>
      <c r="E270" s="383"/>
      <c r="F270" s="383"/>
      <c r="G270" s="383"/>
      <c r="H270" s="383"/>
      <c r="I270" s="383"/>
      <c r="J270" s="383"/>
      <c r="K270" s="383"/>
      <c r="L270" s="383"/>
      <c r="M270" s="383"/>
      <c r="N270" s="383"/>
    </row>
    <row r="271" spans="1:14" ht="45.75" customHeight="1" x14ac:dyDescent="0.3">
      <c r="A271" s="383"/>
      <c r="B271" s="383"/>
      <c r="C271" s="770" t="s">
        <v>457</v>
      </c>
      <c r="D271" s="770"/>
      <c r="E271" s="770"/>
      <c r="F271" s="770"/>
      <c r="G271" s="770"/>
      <c r="H271" s="770"/>
      <c r="I271" s="770"/>
      <c r="J271" s="770"/>
      <c r="K271" s="770"/>
      <c r="L271" s="770"/>
      <c r="M271" s="770"/>
      <c r="N271" s="770"/>
    </row>
    <row r="272" spans="1:14" x14ac:dyDescent="0.3">
      <c r="A272" s="383"/>
      <c r="B272" s="383"/>
      <c r="C272" s="383"/>
      <c r="D272" s="383"/>
      <c r="E272" s="383"/>
      <c r="F272" s="383"/>
      <c r="G272" s="383"/>
      <c r="H272" s="383"/>
      <c r="I272" s="383"/>
      <c r="J272" s="383"/>
      <c r="K272" s="383"/>
      <c r="L272" s="383"/>
      <c r="M272" s="383"/>
      <c r="N272" s="383"/>
    </row>
    <row r="273" spans="1:14" x14ac:dyDescent="0.3">
      <c r="A273" s="383"/>
      <c r="B273" s="385" t="s">
        <v>148</v>
      </c>
      <c r="C273" s="762" t="s">
        <v>1007</v>
      </c>
      <c r="D273" s="762"/>
      <c r="E273" s="762"/>
      <c r="F273" s="762"/>
      <c r="G273" s="762"/>
      <c r="H273" s="762"/>
      <c r="I273" s="762"/>
      <c r="J273" s="762"/>
      <c r="K273" s="762"/>
      <c r="L273" s="762"/>
      <c r="M273" s="762"/>
      <c r="N273" s="762"/>
    </row>
    <row r="274" spans="1:14" x14ac:dyDescent="0.3">
      <c r="A274" s="383"/>
      <c r="B274" s="383"/>
      <c r="C274" s="762"/>
      <c r="D274" s="762"/>
      <c r="E274" s="762"/>
      <c r="F274" s="762"/>
      <c r="G274" s="762"/>
      <c r="H274" s="762"/>
      <c r="I274" s="762"/>
      <c r="J274" s="762"/>
      <c r="K274" s="762"/>
      <c r="L274" s="762"/>
      <c r="M274" s="762"/>
      <c r="N274" s="762"/>
    </row>
    <row r="275" spans="1:14" x14ac:dyDescent="0.3">
      <c r="A275" s="383"/>
      <c r="B275" s="383"/>
      <c r="C275" s="762"/>
      <c r="D275" s="762"/>
      <c r="E275" s="762"/>
      <c r="F275" s="762"/>
      <c r="G275" s="762"/>
      <c r="H275" s="762"/>
      <c r="I275" s="762"/>
      <c r="J275" s="762"/>
      <c r="K275" s="762"/>
      <c r="L275" s="762"/>
      <c r="M275" s="762"/>
      <c r="N275" s="762"/>
    </row>
    <row r="276" spans="1:14" ht="30" customHeight="1" x14ac:dyDescent="0.3">
      <c r="A276" s="383"/>
      <c r="B276" s="383"/>
      <c r="C276" s="762"/>
      <c r="D276" s="762"/>
      <c r="E276" s="762"/>
      <c r="F276" s="762"/>
      <c r="G276" s="762"/>
      <c r="H276" s="762"/>
      <c r="I276" s="762"/>
      <c r="J276" s="762"/>
      <c r="K276" s="762"/>
      <c r="L276" s="762"/>
      <c r="M276" s="762"/>
      <c r="N276" s="762"/>
    </row>
    <row r="277" spans="1:14" ht="48" customHeight="1" x14ac:dyDescent="0.3">
      <c r="A277" s="383"/>
      <c r="B277" s="383"/>
      <c r="C277" s="762"/>
      <c r="D277" s="762"/>
      <c r="E277" s="762"/>
      <c r="F277" s="762"/>
      <c r="G277" s="762"/>
      <c r="H277" s="762"/>
      <c r="I277" s="762"/>
      <c r="J277" s="762"/>
      <c r="K277" s="762"/>
      <c r="L277" s="762"/>
      <c r="M277" s="762"/>
      <c r="N277" s="762"/>
    </row>
    <row r="278" spans="1:14" x14ac:dyDescent="0.3">
      <c r="A278" s="383"/>
      <c r="B278" s="383"/>
      <c r="C278" s="762"/>
      <c r="D278" s="762"/>
      <c r="E278" s="762"/>
      <c r="F278" s="762"/>
      <c r="G278" s="762"/>
      <c r="H278" s="762"/>
      <c r="I278" s="762"/>
      <c r="J278" s="762"/>
      <c r="K278" s="762"/>
      <c r="L278" s="762"/>
      <c r="M278" s="762"/>
      <c r="N278" s="762"/>
    </row>
    <row r="279" spans="1:14" x14ac:dyDescent="0.3">
      <c r="A279" s="383"/>
      <c r="B279" s="383"/>
      <c r="C279" s="762"/>
      <c r="D279" s="762"/>
      <c r="E279" s="762"/>
      <c r="F279" s="762"/>
      <c r="G279" s="762"/>
      <c r="H279" s="762"/>
      <c r="I279" s="762"/>
      <c r="J279" s="762"/>
      <c r="K279" s="762"/>
      <c r="L279" s="762"/>
      <c r="M279" s="762"/>
      <c r="N279" s="762"/>
    </row>
    <row r="280" spans="1:14" x14ac:dyDescent="0.3">
      <c r="A280" s="383"/>
      <c r="B280" s="383"/>
      <c r="C280" s="762"/>
      <c r="D280" s="762"/>
      <c r="E280" s="762"/>
      <c r="F280" s="762"/>
      <c r="G280" s="762"/>
      <c r="H280" s="762"/>
      <c r="I280" s="762"/>
      <c r="J280" s="762"/>
      <c r="K280" s="762"/>
      <c r="L280" s="762"/>
      <c r="M280" s="762"/>
      <c r="N280" s="762"/>
    </row>
    <row r="281" spans="1:14" x14ac:dyDescent="0.3">
      <c r="A281" s="383"/>
      <c r="B281" s="383"/>
      <c r="C281" s="762"/>
      <c r="D281" s="762"/>
      <c r="E281" s="762"/>
      <c r="F281" s="762"/>
      <c r="G281" s="762"/>
      <c r="H281" s="762"/>
      <c r="I281" s="762"/>
      <c r="J281" s="762"/>
      <c r="K281" s="762"/>
      <c r="L281" s="762"/>
      <c r="M281" s="762"/>
      <c r="N281" s="762"/>
    </row>
    <row r="282" spans="1:14" x14ac:dyDescent="0.3">
      <c r="A282" s="383"/>
      <c r="B282" s="383"/>
      <c r="C282" s="762"/>
      <c r="D282" s="762"/>
      <c r="E282" s="762"/>
      <c r="F282" s="762"/>
      <c r="G282" s="762"/>
      <c r="H282" s="762"/>
      <c r="I282" s="762"/>
      <c r="J282" s="762"/>
      <c r="K282" s="762"/>
      <c r="L282" s="762"/>
      <c r="M282" s="762"/>
      <c r="N282" s="762"/>
    </row>
    <row r="283" spans="1:14" x14ac:dyDescent="0.3">
      <c r="A283" s="383"/>
      <c r="B283" s="383"/>
      <c r="C283" s="762"/>
      <c r="D283" s="762"/>
      <c r="E283" s="762"/>
      <c r="F283" s="762"/>
      <c r="G283" s="762"/>
      <c r="H283" s="762"/>
      <c r="I283" s="762"/>
      <c r="J283" s="762"/>
      <c r="K283" s="762"/>
      <c r="L283" s="762"/>
      <c r="M283" s="762"/>
      <c r="N283" s="762"/>
    </row>
    <row r="284" spans="1:14" x14ac:dyDescent="0.3">
      <c r="A284" s="383"/>
      <c r="B284" s="383"/>
      <c r="C284" s="762"/>
      <c r="D284" s="762"/>
      <c r="E284" s="762"/>
      <c r="F284" s="762"/>
      <c r="G284" s="762"/>
      <c r="H284" s="762"/>
      <c r="I284" s="762"/>
      <c r="J284" s="762"/>
      <c r="K284" s="762"/>
      <c r="L284" s="762"/>
      <c r="M284" s="762"/>
      <c r="N284" s="762"/>
    </row>
    <row r="285" spans="1:14" x14ac:dyDescent="0.3">
      <c r="A285" s="383"/>
      <c r="B285" s="383"/>
      <c r="C285" s="762"/>
      <c r="D285" s="762"/>
      <c r="E285" s="762"/>
      <c r="F285" s="762"/>
      <c r="G285" s="762"/>
      <c r="H285" s="762"/>
      <c r="I285" s="762"/>
      <c r="J285" s="762"/>
      <c r="K285" s="762"/>
      <c r="L285" s="762"/>
      <c r="M285" s="762"/>
      <c r="N285" s="762"/>
    </row>
    <row r="286" spans="1:14" x14ac:dyDescent="0.3">
      <c r="A286" s="383"/>
      <c r="B286" s="383"/>
      <c r="C286" s="762"/>
      <c r="D286" s="762"/>
      <c r="E286" s="762"/>
      <c r="F286" s="762"/>
      <c r="G286" s="762"/>
      <c r="H286" s="762"/>
      <c r="I286" s="762"/>
      <c r="J286" s="762"/>
      <c r="K286" s="762"/>
      <c r="L286" s="762"/>
      <c r="M286" s="762"/>
      <c r="N286" s="762"/>
    </row>
    <row r="287" spans="1:14" x14ac:dyDescent="0.3">
      <c r="A287" s="383"/>
      <c r="B287" s="383"/>
      <c r="C287" s="762"/>
      <c r="D287" s="762"/>
      <c r="E287" s="762"/>
      <c r="F287" s="762"/>
      <c r="G287" s="762"/>
      <c r="H287" s="762"/>
      <c r="I287" s="762"/>
      <c r="J287" s="762"/>
      <c r="K287" s="762"/>
      <c r="L287" s="762"/>
      <c r="M287" s="762"/>
      <c r="N287" s="762"/>
    </row>
    <row r="288" spans="1:14" x14ac:dyDescent="0.3">
      <c r="A288" s="383"/>
      <c r="B288" s="383"/>
      <c r="C288" s="383"/>
      <c r="D288" s="383"/>
      <c r="E288" s="383"/>
      <c r="F288" s="383"/>
      <c r="G288" s="383"/>
      <c r="H288" s="383"/>
      <c r="I288" s="383"/>
      <c r="J288" s="383"/>
      <c r="K288" s="383"/>
      <c r="L288" s="383"/>
      <c r="M288" s="383"/>
      <c r="N288" s="383"/>
    </row>
    <row r="289" spans="1:14" x14ac:dyDescent="0.3">
      <c r="A289" s="383"/>
      <c r="B289" s="385" t="s">
        <v>149</v>
      </c>
      <c r="C289" s="762" t="s">
        <v>1008</v>
      </c>
      <c r="D289" s="762"/>
      <c r="E289" s="762"/>
      <c r="F289" s="762"/>
      <c r="G289" s="762"/>
      <c r="H289" s="762"/>
      <c r="I289" s="762"/>
      <c r="J289" s="762"/>
      <c r="K289" s="762"/>
      <c r="L289" s="762"/>
      <c r="M289" s="762"/>
      <c r="N289" s="762"/>
    </row>
    <row r="290" spans="1:14" x14ac:dyDescent="0.3">
      <c r="A290" s="383"/>
      <c r="B290" s="383"/>
      <c r="C290" s="762"/>
      <c r="D290" s="762"/>
      <c r="E290" s="762"/>
      <c r="F290" s="762"/>
      <c r="G290" s="762"/>
      <c r="H290" s="762"/>
      <c r="I290" s="762"/>
      <c r="J290" s="762"/>
      <c r="K290" s="762"/>
      <c r="L290" s="762"/>
      <c r="M290" s="762"/>
      <c r="N290" s="762"/>
    </row>
    <row r="291" spans="1:14" x14ac:dyDescent="0.3">
      <c r="A291" s="383"/>
      <c r="B291" s="383"/>
      <c r="C291" s="762"/>
      <c r="D291" s="762"/>
      <c r="E291" s="762"/>
      <c r="F291" s="762"/>
      <c r="G291" s="762"/>
      <c r="H291" s="762"/>
      <c r="I291" s="762"/>
      <c r="J291" s="762"/>
      <c r="K291" s="762"/>
      <c r="L291" s="762"/>
      <c r="M291" s="762"/>
      <c r="N291" s="762"/>
    </row>
    <row r="292" spans="1:14" x14ac:dyDescent="0.3">
      <c r="A292" s="383"/>
      <c r="B292" s="383"/>
      <c r="C292" s="762"/>
      <c r="D292" s="762"/>
      <c r="E292" s="762"/>
      <c r="F292" s="762"/>
      <c r="G292" s="762"/>
      <c r="H292" s="762"/>
      <c r="I292" s="762"/>
      <c r="J292" s="762"/>
      <c r="K292" s="762"/>
      <c r="L292" s="762"/>
      <c r="M292" s="762"/>
      <c r="N292" s="762"/>
    </row>
    <row r="293" spans="1:14" x14ac:dyDescent="0.3">
      <c r="A293" s="383"/>
      <c r="B293" s="383"/>
      <c r="C293" s="762"/>
      <c r="D293" s="762"/>
      <c r="E293" s="762"/>
      <c r="F293" s="762"/>
      <c r="G293" s="762"/>
      <c r="H293" s="762"/>
      <c r="I293" s="762"/>
      <c r="J293" s="762"/>
      <c r="K293" s="762"/>
      <c r="L293" s="762"/>
      <c r="M293" s="762"/>
      <c r="N293" s="762"/>
    </row>
    <row r="294" spans="1:14" ht="59.25" customHeight="1" x14ac:dyDescent="0.3">
      <c r="A294" s="383"/>
      <c r="B294" s="383"/>
      <c r="C294" s="762"/>
      <c r="D294" s="762"/>
      <c r="E294" s="762"/>
      <c r="F294" s="762"/>
      <c r="G294" s="762"/>
      <c r="H294" s="762"/>
      <c r="I294" s="762"/>
      <c r="J294" s="762"/>
      <c r="K294" s="762"/>
      <c r="L294" s="762"/>
      <c r="M294" s="762"/>
      <c r="N294" s="762"/>
    </row>
    <row r="295" spans="1:14" x14ac:dyDescent="0.3">
      <c r="A295" s="383"/>
      <c r="B295" s="383"/>
      <c r="C295" s="383"/>
      <c r="D295" s="383"/>
      <c r="E295" s="383"/>
      <c r="F295" s="383"/>
      <c r="G295" s="383"/>
      <c r="H295" s="383"/>
      <c r="I295" s="383"/>
      <c r="J295" s="383"/>
      <c r="K295" s="383"/>
      <c r="L295" s="383"/>
      <c r="M295" s="383"/>
      <c r="N295" s="383"/>
    </row>
    <row r="296" spans="1:14" ht="15" customHeight="1" x14ac:dyDescent="0.3">
      <c r="A296" s="383"/>
      <c r="B296" s="390" t="s">
        <v>150</v>
      </c>
      <c r="C296" s="391" t="s">
        <v>1009</v>
      </c>
      <c r="D296" s="391"/>
      <c r="E296" s="391"/>
      <c r="F296" s="391"/>
      <c r="G296" s="391"/>
      <c r="H296" s="391"/>
      <c r="I296" s="391"/>
      <c r="J296" s="391"/>
      <c r="K296" s="391"/>
      <c r="L296" s="391"/>
      <c r="M296" s="391"/>
      <c r="N296" s="391"/>
    </row>
    <row r="297" spans="1:14" x14ac:dyDescent="0.3">
      <c r="A297" s="383"/>
      <c r="B297" s="392"/>
      <c r="C297" s="391"/>
      <c r="D297" s="391"/>
      <c r="E297" s="391"/>
      <c r="F297" s="391"/>
      <c r="G297" s="391"/>
      <c r="H297" s="391"/>
      <c r="I297" s="391"/>
      <c r="J297" s="391"/>
      <c r="K297" s="391"/>
      <c r="L297" s="391"/>
      <c r="M297" s="391"/>
      <c r="N297" s="391"/>
    </row>
    <row r="298" spans="1:14" x14ac:dyDescent="0.3">
      <c r="A298" s="383"/>
      <c r="B298" s="392"/>
      <c r="C298" s="391"/>
      <c r="D298" s="391"/>
      <c r="E298" s="391"/>
      <c r="F298" s="391"/>
      <c r="G298" s="391"/>
      <c r="H298" s="391"/>
      <c r="I298" s="391"/>
      <c r="J298" s="391"/>
      <c r="K298" s="391"/>
      <c r="L298" s="391"/>
      <c r="M298" s="391"/>
      <c r="N298" s="391"/>
    </row>
    <row r="299" spans="1:14" x14ac:dyDescent="0.3">
      <c r="A299" s="383"/>
      <c r="B299" s="392"/>
      <c r="C299" s="391"/>
      <c r="D299" s="391"/>
      <c r="E299" s="391"/>
      <c r="F299" s="391"/>
      <c r="G299" s="391"/>
      <c r="H299" s="391"/>
      <c r="I299" s="391"/>
      <c r="J299" s="391"/>
      <c r="K299" s="391"/>
      <c r="L299" s="391"/>
      <c r="M299" s="391"/>
      <c r="N299" s="391"/>
    </row>
    <row r="300" spans="1:14" x14ac:dyDescent="0.3">
      <c r="A300" s="383"/>
      <c r="B300" s="392"/>
      <c r="C300" s="391"/>
      <c r="D300" s="391"/>
      <c r="E300" s="391"/>
      <c r="F300" s="391"/>
      <c r="G300" s="391"/>
      <c r="H300" s="391"/>
      <c r="I300" s="391"/>
      <c r="J300" s="391"/>
      <c r="K300" s="391"/>
      <c r="L300" s="391"/>
      <c r="M300" s="391"/>
      <c r="N300" s="391"/>
    </row>
    <row r="301" spans="1:14" x14ac:dyDescent="0.3">
      <c r="A301" s="383"/>
      <c r="B301" s="392"/>
      <c r="C301" s="391"/>
      <c r="D301" s="391"/>
      <c r="E301" s="391"/>
      <c r="F301" s="391"/>
      <c r="G301" s="391"/>
      <c r="H301" s="391"/>
      <c r="I301" s="391"/>
      <c r="J301" s="391"/>
      <c r="K301" s="391"/>
      <c r="L301" s="391"/>
      <c r="M301" s="391"/>
      <c r="N301" s="391"/>
    </row>
    <row r="302" spans="1:14" x14ac:dyDescent="0.3">
      <c r="A302" s="383"/>
      <c r="B302" s="392"/>
      <c r="C302" s="391"/>
      <c r="D302" s="391"/>
      <c r="E302" s="391"/>
      <c r="F302" s="391"/>
      <c r="G302" s="391"/>
      <c r="H302" s="391"/>
      <c r="I302" s="391"/>
      <c r="J302" s="391"/>
      <c r="K302" s="391"/>
      <c r="L302" s="391"/>
      <c r="M302" s="391"/>
      <c r="N302" s="391"/>
    </row>
    <row r="303" spans="1:14" x14ac:dyDescent="0.3">
      <c r="A303" s="383"/>
      <c r="B303" s="392"/>
      <c r="C303" s="391"/>
      <c r="D303" s="391"/>
      <c r="E303" s="391"/>
      <c r="F303" s="391"/>
      <c r="G303" s="391"/>
      <c r="H303" s="391"/>
      <c r="I303" s="391"/>
      <c r="J303" s="391"/>
      <c r="K303" s="391"/>
      <c r="L303" s="391"/>
      <c r="M303" s="391"/>
      <c r="N303" s="391"/>
    </row>
    <row r="304" spans="1:14" x14ac:dyDescent="0.3">
      <c r="B304" s="393"/>
      <c r="C304" s="394"/>
      <c r="D304" s="394"/>
      <c r="E304" s="394"/>
      <c r="F304" s="394"/>
      <c r="G304" s="394"/>
      <c r="H304" s="394"/>
      <c r="I304" s="394"/>
      <c r="J304" s="394"/>
      <c r="K304" s="394"/>
      <c r="L304" s="394"/>
      <c r="M304" s="394"/>
      <c r="N304" s="394"/>
    </row>
    <row r="305" spans="2:14" x14ac:dyDescent="0.3">
      <c r="B305" s="393"/>
      <c r="C305" s="394"/>
      <c r="D305" s="394"/>
      <c r="E305" s="394"/>
      <c r="F305" s="394"/>
      <c r="G305" s="394"/>
      <c r="H305" s="394"/>
      <c r="I305" s="394"/>
      <c r="J305" s="394"/>
      <c r="K305" s="394"/>
      <c r="L305" s="394"/>
      <c r="M305" s="394"/>
      <c r="N305" s="394"/>
    </row>
    <row r="306" spans="2:14" x14ac:dyDescent="0.3">
      <c r="B306" s="393"/>
      <c r="C306" s="394"/>
      <c r="D306" s="394"/>
      <c r="E306" s="394"/>
      <c r="F306" s="394"/>
      <c r="G306" s="394"/>
      <c r="H306" s="394"/>
      <c r="I306" s="394"/>
      <c r="J306" s="394"/>
      <c r="K306" s="394"/>
      <c r="L306" s="394"/>
      <c r="M306" s="394"/>
      <c r="N306" s="394"/>
    </row>
    <row r="307" spans="2:14" ht="20.25" customHeight="1" x14ac:dyDescent="0.3">
      <c r="B307" s="393"/>
      <c r="C307" s="394"/>
      <c r="D307" s="394"/>
      <c r="E307" s="394"/>
      <c r="F307" s="394"/>
      <c r="G307" s="394"/>
      <c r="H307" s="394"/>
      <c r="I307" s="394"/>
      <c r="J307" s="394"/>
      <c r="K307" s="394"/>
      <c r="L307" s="394"/>
      <c r="M307" s="394"/>
      <c r="N307" s="394"/>
    </row>
    <row r="308" spans="2:14" x14ac:dyDescent="0.3">
      <c r="B308" s="393"/>
      <c r="C308" s="394"/>
      <c r="D308" s="394"/>
      <c r="E308" s="394"/>
      <c r="F308" s="394"/>
      <c r="G308" s="394"/>
      <c r="H308" s="394"/>
      <c r="I308" s="394"/>
      <c r="J308" s="394"/>
      <c r="K308" s="394"/>
      <c r="L308" s="394"/>
      <c r="M308" s="394"/>
      <c r="N308" s="394"/>
    </row>
    <row r="309" spans="2:14" ht="30.75" customHeight="1" x14ac:dyDescent="0.3">
      <c r="B309" s="393"/>
      <c r="C309" s="394"/>
      <c r="D309" s="394"/>
      <c r="E309" s="394"/>
      <c r="F309" s="394"/>
      <c r="G309" s="394"/>
      <c r="H309" s="394"/>
      <c r="I309" s="394"/>
      <c r="J309" s="394"/>
      <c r="K309" s="394"/>
      <c r="L309" s="394"/>
      <c r="M309" s="394"/>
      <c r="N309" s="394"/>
    </row>
  </sheetData>
  <mergeCells count="64">
    <mergeCell ref="C237:N241"/>
    <mergeCell ref="C245:N248"/>
    <mergeCell ref="C252:N255"/>
    <mergeCell ref="C214:N217"/>
    <mergeCell ref="C219:N219"/>
    <mergeCell ref="C222:N223"/>
    <mergeCell ref="C224:N235"/>
    <mergeCell ref="C271:N271"/>
    <mergeCell ref="C273:N287"/>
    <mergeCell ref="C289:N294"/>
    <mergeCell ref="C258:N258"/>
    <mergeCell ref="C259:N262"/>
    <mergeCell ref="C263:N268"/>
    <mergeCell ref="C206:N206"/>
    <mergeCell ref="C209:N211"/>
    <mergeCell ref="C185:N185"/>
    <mergeCell ref="C188:N188"/>
    <mergeCell ref="C190:N193"/>
    <mergeCell ref="C195:N196"/>
    <mergeCell ref="C198:N200"/>
    <mergeCell ref="C202:N204"/>
    <mergeCell ref="C183:H183"/>
    <mergeCell ref="I183:N183"/>
    <mergeCell ref="I181:N182"/>
    <mergeCell ref="I180:N180"/>
    <mergeCell ref="C177:N177"/>
    <mergeCell ref="C180:H180"/>
    <mergeCell ref="C181:H181"/>
    <mergeCell ref="C182:H182"/>
    <mergeCell ref="C164:N165"/>
    <mergeCell ref="C168:N168"/>
    <mergeCell ref="C171:N175"/>
    <mergeCell ref="C9:N15"/>
    <mergeCell ref="C17:N20"/>
    <mergeCell ref="C23:N26"/>
    <mergeCell ref="C28:N31"/>
    <mergeCell ref="C143:N161"/>
    <mergeCell ref="C37:N47"/>
    <mergeCell ref="C33:H33"/>
    <mergeCell ref="I35:N35"/>
    <mergeCell ref="C92:N96"/>
    <mergeCell ref="C138:N140"/>
    <mergeCell ref="C116:N116"/>
    <mergeCell ref="C118:N118"/>
    <mergeCell ref="C120:N128"/>
    <mergeCell ref="C130:N130"/>
    <mergeCell ref="C132:N136"/>
    <mergeCell ref="C103:N114"/>
    <mergeCell ref="C49:N55"/>
    <mergeCell ref="C57:N61"/>
    <mergeCell ref="C63:N69"/>
    <mergeCell ref="C71:N86"/>
    <mergeCell ref="C88:N90"/>
    <mergeCell ref="A1:N1"/>
    <mergeCell ref="A2:N2"/>
    <mergeCell ref="C5:N5"/>
    <mergeCell ref="C99:N99"/>
    <mergeCell ref="C101:N101"/>
    <mergeCell ref="C6:N6"/>
    <mergeCell ref="I33:N33"/>
    <mergeCell ref="C34:H34"/>
    <mergeCell ref="I34:N34"/>
    <mergeCell ref="C35:H35"/>
    <mergeCell ref="C7:N7"/>
  </mergeCells>
  <printOptions horizontalCentered="1"/>
  <pageMargins left="0.19685039370078741" right="0.19685039370078741" top="0.19685039370078741" bottom="0.19685039370078741" header="0" footer="0"/>
  <pageSetup paperSize="9" scale="73" fitToHeight="18" orientation="portrait" r:id="rId1"/>
  <rowBreaks count="6" manualBreakCount="6">
    <brk id="70" max="16383" man="1"/>
    <brk id="102" max="16383" man="1"/>
    <brk id="131" max="16383" man="1"/>
    <brk id="178" max="16383" man="1"/>
    <brk id="220" max="16383" man="1"/>
    <brk id="272" max="16383" man="1"/>
  </rowBreaks>
  <ignoredErrors>
    <ignoredError sqref="A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2"/>
  <sheetViews>
    <sheetView topLeftCell="A289" zoomScale="80" zoomScaleNormal="80" zoomScaleSheetLayoutView="100" workbookViewId="0">
      <selection activeCell="O18" sqref="O18"/>
    </sheetView>
  </sheetViews>
  <sheetFormatPr defaultColWidth="9.33203125" defaultRowHeight="13.8" x14ac:dyDescent="0.25"/>
  <cols>
    <col min="1" max="1" width="14.109375" style="261" customWidth="1"/>
    <col min="2" max="2" width="22" style="261" customWidth="1"/>
    <col min="3" max="6" width="8.6640625" style="261" customWidth="1"/>
    <col min="7" max="7" width="13.5546875" style="261" customWidth="1"/>
    <col min="8" max="8" width="10.5546875" style="261" customWidth="1"/>
    <col min="9" max="9" width="15.44140625" style="261" customWidth="1"/>
    <col min="10" max="10" width="14.44140625" style="8" customWidth="1"/>
    <col min="11" max="11" width="15.6640625" style="261" customWidth="1"/>
    <col min="12" max="12" width="19" style="277" customWidth="1"/>
    <col min="13" max="13" width="18.109375" style="261" customWidth="1"/>
    <col min="14" max="14" width="15.109375" style="261" bestFit="1" customWidth="1"/>
    <col min="15" max="15" width="13.44140625" style="261" bestFit="1" customWidth="1"/>
    <col min="16" max="16" width="13.5546875" style="261" customWidth="1"/>
    <col min="17" max="16384" width="9.33203125" style="261"/>
  </cols>
  <sheetData>
    <row r="1" spans="1:15" ht="22.8" x14ac:dyDescent="0.25">
      <c r="A1" s="760" t="s">
        <v>270</v>
      </c>
      <c r="B1" s="760"/>
      <c r="C1" s="760"/>
      <c r="D1" s="760"/>
      <c r="E1" s="760"/>
      <c r="F1" s="760"/>
      <c r="G1" s="760"/>
      <c r="H1" s="760"/>
      <c r="I1" s="760"/>
      <c r="J1" s="760"/>
      <c r="K1" s="760"/>
      <c r="L1" s="760"/>
      <c r="M1" s="760"/>
      <c r="N1" s="760"/>
    </row>
    <row r="2" spans="1:15" ht="22.8" x14ac:dyDescent="0.25">
      <c r="A2" s="760" t="s">
        <v>88</v>
      </c>
      <c r="B2" s="760"/>
      <c r="C2" s="760"/>
      <c r="D2" s="760"/>
      <c r="E2" s="760"/>
      <c r="F2" s="760"/>
      <c r="G2" s="760"/>
      <c r="H2" s="760"/>
      <c r="I2" s="760"/>
      <c r="J2" s="760"/>
      <c r="K2" s="760"/>
      <c r="L2" s="760"/>
      <c r="M2" s="760"/>
      <c r="N2" s="760"/>
    </row>
    <row r="3" spans="1:15" x14ac:dyDescent="0.25">
      <c r="A3" s="395"/>
      <c r="B3" s="395"/>
      <c r="C3" s="395"/>
      <c r="D3" s="395"/>
      <c r="E3" s="395"/>
      <c r="F3" s="395"/>
      <c r="G3" s="395"/>
      <c r="H3" s="395"/>
      <c r="I3" s="395"/>
      <c r="J3" s="395"/>
      <c r="K3" s="395"/>
      <c r="L3" s="395"/>
      <c r="M3" s="395"/>
      <c r="N3" s="395"/>
    </row>
    <row r="4" spans="1:15" ht="15" x14ac:dyDescent="0.25">
      <c r="A4" s="355" t="s">
        <v>461</v>
      </c>
      <c r="B4" s="355" t="s">
        <v>154</v>
      </c>
      <c r="C4" s="350"/>
      <c r="D4" s="350"/>
      <c r="E4" s="350"/>
      <c r="F4" s="350"/>
      <c r="G4" s="350"/>
      <c r="H4" s="350"/>
      <c r="I4" s="350"/>
      <c r="J4" s="160"/>
      <c r="K4" s="350"/>
      <c r="L4" s="354"/>
      <c r="M4" s="350"/>
      <c r="N4" s="350"/>
      <c r="O4" s="396"/>
    </row>
    <row r="5" spans="1:15" ht="30" x14ac:dyDescent="0.25">
      <c r="A5" s="350"/>
      <c r="B5" s="756" t="s">
        <v>0</v>
      </c>
      <c r="C5" s="756"/>
      <c r="D5" s="756"/>
      <c r="E5" s="756"/>
      <c r="F5" s="756"/>
      <c r="G5" s="756"/>
      <c r="H5" s="756"/>
      <c r="I5" s="756"/>
      <c r="J5" s="756"/>
      <c r="K5" s="776"/>
      <c r="L5" s="397" t="s">
        <v>866</v>
      </c>
      <c r="M5" s="398" t="s">
        <v>706</v>
      </c>
      <c r="N5" s="350"/>
      <c r="O5" s="396"/>
    </row>
    <row r="6" spans="1:15" ht="15" x14ac:dyDescent="0.25">
      <c r="A6" s="350"/>
      <c r="B6" s="399" t="s">
        <v>170</v>
      </c>
      <c r="C6" s="400"/>
      <c r="D6" s="400"/>
      <c r="E6" s="400"/>
      <c r="F6" s="400"/>
      <c r="G6" s="400"/>
      <c r="H6" s="400"/>
      <c r="I6" s="400"/>
      <c r="J6" s="171"/>
      <c r="K6" s="401"/>
      <c r="L6" s="172">
        <f>trial!B111</f>
        <v>4542193</v>
      </c>
      <c r="M6" s="172">
        <v>2402828</v>
      </c>
      <c r="N6" s="350"/>
      <c r="O6" s="396"/>
    </row>
    <row r="7" spans="1:15" ht="15" x14ac:dyDescent="0.25">
      <c r="A7" s="350"/>
      <c r="B7" s="402" t="s">
        <v>171</v>
      </c>
      <c r="C7" s="350"/>
      <c r="D7" s="350"/>
      <c r="E7" s="350"/>
      <c r="F7" s="350"/>
      <c r="G7" s="350"/>
      <c r="H7" s="350"/>
      <c r="I7" s="350"/>
      <c r="J7" s="157"/>
      <c r="K7" s="403"/>
      <c r="L7" s="154">
        <f>SUM(trial!B96:B109)-trial!B100</f>
        <v>13330622.68</v>
      </c>
      <c r="M7" s="154">
        <v>4836065.5599999996</v>
      </c>
      <c r="N7" s="350"/>
      <c r="O7" s="396"/>
    </row>
    <row r="8" spans="1:15" ht="15" x14ac:dyDescent="0.25">
      <c r="A8" s="350"/>
      <c r="B8" s="404" t="s">
        <v>203</v>
      </c>
      <c r="C8" s="405"/>
      <c r="D8" s="405"/>
      <c r="E8" s="405"/>
      <c r="F8" s="405"/>
      <c r="G8" s="405"/>
      <c r="H8" s="405"/>
      <c r="I8" s="405"/>
      <c r="J8" s="173"/>
      <c r="K8" s="405"/>
      <c r="L8" s="174">
        <f>SUM(L6:L7)</f>
        <v>17872815.68</v>
      </c>
      <c r="M8" s="174">
        <v>7238893.5599999996</v>
      </c>
      <c r="N8" s="350"/>
      <c r="O8" s="396"/>
    </row>
    <row r="9" spans="1:15" ht="15" x14ac:dyDescent="0.25">
      <c r="A9" s="350"/>
      <c r="B9" s="355"/>
      <c r="C9" s="355"/>
      <c r="D9" s="355"/>
      <c r="E9" s="355"/>
      <c r="F9" s="355"/>
      <c r="G9" s="355"/>
      <c r="H9" s="355"/>
      <c r="I9" s="355"/>
      <c r="J9" s="151"/>
      <c r="K9" s="355"/>
      <c r="L9" s="151"/>
      <c r="M9" s="151"/>
      <c r="N9" s="350"/>
      <c r="O9" s="396"/>
    </row>
    <row r="10" spans="1:15" ht="15" x14ac:dyDescent="0.25">
      <c r="A10" s="355" t="s">
        <v>954</v>
      </c>
      <c r="B10" s="355" t="s">
        <v>956</v>
      </c>
      <c r="C10" s="355"/>
      <c r="D10" s="355"/>
      <c r="E10" s="355"/>
      <c r="F10" s="355"/>
      <c r="G10" s="355"/>
      <c r="H10" s="355"/>
      <c r="I10" s="355"/>
      <c r="J10" s="151"/>
      <c r="K10" s="355"/>
      <c r="L10" s="151"/>
      <c r="M10" s="151"/>
      <c r="N10" s="350"/>
      <c r="O10" s="396"/>
    </row>
    <row r="11" spans="1:15" ht="30" x14ac:dyDescent="0.25">
      <c r="A11" s="350"/>
      <c r="B11" s="756" t="s">
        <v>0</v>
      </c>
      <c r="C11" s="756"/>
      <c r="D11" s="756"/>
      <c r="E11" s="756"/>
      <c r="F11" s="756"/>
      <c r="G11" s="756"/>
      <c r="H11" s="756"/>
      <c r="I11" s="756"/>
      <c r="J11" s="756"/>
      <c r="K11" s="776"/>
      <c r="L11" s="397" t="s">
        <v>866</v>
      </c>
      <c r="M11" s="398" t="s">
        <v>706</v>
      </c>
      <c r="N11" s="350"/>
      <c r="O11" s="396"/>
    </row>
    <row r="12" spans="1:15" ht="15" x14ac:dyDescent="0.25">
      <c r="A12" s="350"/>
      <c r="B12" s="406" t="s">
        <v>867</v>
      </c>
      <c r="C12" s="400"/>
      <c r="D12" s="400"/>
      <c r="E12" s="400"/>
      <c r="F12" s="400"/>
      <c r="G12" s="400"/>
      <c r="H12" s="400"/>
      <c r="I12" s="400"/>
      <c r="J12" s="171"/>
      <c r="K12" s="401"/>
      <c r="L12" s="407">
        <f>trial!B203</f>
        <v>30000000</v>
      </c>
      <c r="M12" s="172">
        <v>0</v>
      </c>
      <c r="N12" s="350"/>
      <c r="O12" s="396"/>
    </row>
    <row r="13" spans="1:15" ht="15" x14ac:dyDescent="0.25">
      <c r="A13" s="350"/>
      <c r="B13" s="408" t="s">
        <v>1067</v>
      </c>
      <c r="C13" s="409"/>
      <c r="D13" s="409"/>
      <c r="E13" s="409"/>
      <c r="F13" s="409"/>
      <c r="G13" s="409"/>
      <c r="H13" s="409"/>
      <c r="I13" s="409"/>
      <c r="J13" s="175"/>
      <c r="K13" s="409"/>
      <c r="L13" s="410">
        <f>+trial!B100</f>
        <v>340085</v>
      </c>
      <c r="M13" s="192">
        <v>0</v>
      </c>
      <c r="N13" s="350"/>
      <c r="O13" s="396"/>
    </row>
    <row r="14" spans="1:15" ht="15" x14ac:dyDescent="0.25">
      <c r="A14" s="350"/>
      <c r="B14" s="404" t="s">
        <v>203</v>
      </c>
      <c r="C14" s="405"/>
      <c r="D14" s="405"/>
      <c r="E14" s="405"/>
      <c r="F14" s="405"/>
      <c r="G14" s="405"/>
      <c r="H14" s="405"/>
      <c r="I14" s="405"/>
      <c r="J14" s="173"/>
      <c r="K14" s="405"/>
      <c r="L14" s="174">
        <f>SUM(L12:L13)</f>
        <v>30340085</v>
      </c>
      <c r="M14" s="174">
        <v>0</v>
      </c>
      <c r="N14" s="350"/>
      <c r="O14" s="396"/>
    </row>
    <row r="15" spans="1:15" ht="15" x14ac:dyDescent="0.25">
      <c r="A15" s="350"/>
      <c r="B15" s="355"/>
      <c r="C15" s="355"/>
      <c r="D15" s="355"/>
      <c r="E15" s="355"/>
      <c r="F15" s="355"/>
      <c r="G15" s="355"/>
      <c r="H15" s="355"/>
      <c r="I15" s="355"/>
      <c r="J15" s="151"/>
      <c r="K15" s="355"/>
      <c r="L15" s="151"/>
      <c r="M15" s="151"/>
      <c r="N15" s="350"/>
      <c r="O15" s="396"/>
    </row>
    <row r="16" spans="1:15" ht="15" x14ac:dyDescent="0.25">
      <c r="A16" s="355" t="s">
        <v>462</v>
      </c>
      <c r="B16" s="355" t="s">
        <v>8</v>
      </c>
      <c r="C16" s="350"/>
      <c r="D16" s="350"/>
      <c r="E16" s="350"/>
      <c r="F16" s="350"/>
      <c r="G16" s="350"/>
      <c r="H16" s="350"/>
      <c r="I16" s="350"/>
      <c r="J16" s="160"/>
      <c r="K16" s="350"/>
      <c r="L16" s="354"/>
      <c r="M16" s="350"/>
      <c r="N16" s="350"/>
      <c r="O16" s="396"/>
    </row>
    <row r="17" spans="1:15" ht="30" x14ac:dyDescent="0.25">
      <c r="A17" s="350"/>
      <c r="B17" s="756" t="s">
        <v>0</v>
      </c>
      <c r="C17" s="756"/>
      <c r="D17" s="756"/>
      <c r="E17" s="756"/>
      <c r="F17" s="756"/>
      <c r="G17" s="756"/>
      <c r="H17" s="756"/>
      <c r="I17" s="756"/>
      <c r="J17" s="756"/>
      <c r="K17" s="776"/>
      <c r="L17" s="397" t="str">
        <f>L5</f>
        <v>As at March 31 2025</v>
      </c>
      <c r="M17" s="398" t="s">
        <v>706</v>
      </c>
      <c r="N17" s="350"/>
      <c r="O17" s="396"/>
    </row>
    <row r="18" spans="1:15" ht="15" x14ac:dyDescent="0.25">
      <c r="A18" s="350"/>
      <c r="B18" s="411" t="s">
        <v>191</v>
      </c>
      <c r="C18" s="400"/>
      <c r="D18" s="400"/>
      <c r="E18" s="400"/>
      <c r="F18" s="400"/>
      <c r="G18" s="400"/>
      <c r="H18" s="400"/>
      <c r="I18" s="400"/>
      <c r="J18" s="171"/>
      <c r="K18" s="401"/>
      <c r="L18" s="412"/>
      <c r="M18" s="413"/>
      <c r="N18" s="350"/>
      <c r="O18" s="396"/>
    </row>
    <row r="19" spans="1:15" ht="15" x14ac:dyDescent="0.25">
      <c r="A19" s="350"/>
      <c r="B19" s="414" t="s">
        <v>172</v>
      </c>
      <c r="C19" s="350"/>
      <c r="D19" s="350"/>
      <c r="E19" s="350"/>
      <c r="F19" s="350"/>
      <c r="G19" s="350"/>
      <c r="H19" s="350"/>
      <c r="I19" s="350"/>
      <c r="J19" s="157"/>
      <c r="K19" s="403"/>
      <c r="L19" s="415"/>
      <c r="M19" s="416"/>
      <c r="N19" s="350"/>
      <c r="O19" s="396"/>
    </row>
    <row r="20" spans="1:15" ht="15" x14ac:dyDescent="0.25">
      <c r="A20" s="350"/>
      <c r="B20" s="402" t="s">
        <v>175</v>
      </c>
      <c r="C20" s="350"/>
      <c r="D20" s="350"/>
      <c r="E20" s="350"/>
      <c r="F20" s="350"/>
      <c r="G20" s="350"/>
      <c r="H20" s="350"/>
      <c r="I20" s="350"/>
      <c r="J20" s="157"/>
      <c r="K20" s="403"/>
      <c r="L20" s="415"/>
      <c r="M20" s="416"/>
      <c r="N20" s="350"/>
      <c r="O20" s="396"/>
    </row>
    <row r="21" spans="1:15" ht="15" x14ac:dyDescent="0.25">
      <c r="A21" s="350"/>
      <c r="B21" s="402" t="s">
        <v>176</v>
      </c>
      <c r="C21" s="350"/>
      <c r="D21" s="350"/>
      <c r="E21" s="350"/>
      <c r="F21" s="350"/>
      <c r="G21" s="350"/>
      <c r="H21" s="350"/>
      <c r="I21" s="350"/>
      <c r="J21" s="157"/>
      <c r="K21" s="403"/>
      <c r="L21" s="154">
        <v>0</v>
      </c>
      <c r="M21" s="154">
        <v>0</v>
      </c>
      <c r="N21" s="350"/>
      <c r="O21" s="396"/>
    </row>
    <row r="22" spans="1:15" ht="15" x14ac:dyDescent="0.25">
      <c r="A22" s="350"/>
      <c r="B22" s="402" t="s">
        <v>177</v>
      </c>
      <c r="C22" s="350"/>
      <c r="D22" s="350"/>
      <c r="E22" s="350"/>
      <c r="F22" s="350"/>
      <c r="G22" s="350"/>
      <c r="H22" s="350"/>
      <c r="I22" s="350"/>
      <c r="J22" s="157"/>
      <c r="K22" s="403"/>
      <c r="L22" s="415"/>
      <c r="M22" s="415"/>
      <c r="N22" s="350"/>
      <c r="O22" s="396"/>
    </row>
    <row r="23" spans="1:15" ht="15" x14ac:dyDescent="0.25">
      <c r="A23" s="350"/>
      <c r="B23" s="402" t="s">
        <v>178</v>
      </c>
      <c r="C23" s="350"/>
      <c r="D23" s="350"/>
      <c r="E23" s="350"/>
      <c r="F23" s="350"/>
      <c r="G23" s="350"/>
      <c r="H23" s="350"/>
      <c r="I23" s="350"/>
      <c r="J23" s="157"/>
      <c r="K23" s="403"/>
      <c r="L23" s="415"/>
      <c r="M23" s="415"/>
      <c r="N23" s="350"/>
      <c r="O23" s="396"/>
    </row>
    <row r="24" spans="1:15" ht="15" x14ac:dyDescent="0.25">
      <c r="A24" s="350"/>
      <c r="B24" s="402" t="s">
        <v>179</v>
      </c>
      <c r="C24" s="350"/>
      <c r="D24" s="350"/>
      <c r="E24" s="350"/>
      <c r="F24" s="350"/>
      <c r="G24" s="350"/>
      <c r="H24" s="350"/>
      <c r="I24" s="350"/>
      <c r="J24" s="157"/>
      <c r="K24" s="403"/>
      <c r="L24" s="415"/>
      <c r="M24" s="415"/>
      <c r="N24" s="350"/>
      <c r="O24" s="396"/>
    </row>
    <row r="25" spans="1:15" ht="15" x14ac:dyDescent="0.25">
      <c r="A25" s="350"/>
      <c r="B25" s="402" t="s">
        <v>180</v>
      </c>
      <c r="C25" s="350"/>
      <c r="D25" s="350"/>
      <c r="E25" s="350"/>
      <c r="F25" s="350"/>
      <c r="G25" s="350"/>
      <c r="H25" s="350"/>
      <c r="I25" s="350"/>
      <c r="J25" s="157"/>
      <c r="K25" s="403"/>
      <c r="L25" s="415"/>
      <c r="M25" s="415"/>
      <c r="N25" s="350"/>
      <c r="O25" s="396"/>
    </row>
    <row r="26" spans="1:15" ht="15" x14ac:dyDescent="0.25">
      <c r="A26" s="350"/>
      <c r="B26" s="414" t="s">
        <v>173</v>
      </c>
      <c r="C26" s="350"/>
      <c r="D26" s="350"/>
      <c r="E26" s="350"/>
      <c r="F26" s="350"/>
      <c r="G26" s="350"/>
      <c r="H26" s="350"/>
      <c r="I26" s="350"/>
      <c r="J26" s="157"/>
      <c r="K26" s="403"/>
      <c r="L26" s="417">
        <f>+L21</f>
        <v>0</v>
      </c>
      <c r="M26" s="417">
        <v>0</v>
      </c>
      <c r="N26" s="350"/>
      <c r="O26" s="396"/>
    </row>
    <row r="27" spans="1:15" ht="15" x14ac:dyDescent="0.25">
      <c r="A27" s="350"/>
      <c r="B27" s="414" t="s">
        <v>174</v>
      </c>
      <c r="C27" s="350"/>
      <c r="D27" s="350"/>
      <c r="E27" s="350"/>
      <c r="F27" s="350"/>
      <c r="G27" s="350"/>
      <c r="H27" s="350"/>
      <c r="I27" s="350"/>
      <c r="J27" s="157"/>
      <c r="K27" s="403"/>
      <c r="L27" s="415"/>
      <c r="M27" s="415"/>
      <c r="N27" s="350"/>
      <c r="O27" s="396"/>
    </row>
    <row r="28" spans="1:15" ht="15" x14ac:dyDescent="0.25">
      <c r="A28" s="350"/>
      <c r="B28" s="402" t="s">
        <v>181</v>
      </c>
      <c r="C28" s="350"/>
      <c r="D28" s="350"/>
      <c r="E28" s="350"/>
      <c r="F28" s="350"/>
      <c r="G28" s="350"/>
      <c r="H28" s="350"/>
      <c r="I28" s="350"/>
      <c r="J28" s="157"/>
      <c r="K28" s="403"/>
      <c r="L28" s="415"/>
      <c r="M28" s="415"/>
      <c r="N28" s="350"/>
      <c r="O28" s="396"/>
    </row>
    <row r="29" spans="1:15" ht="15" x14ac:dyDescent="0.25">
      <c r="A29" s="350"/>
      <c r="B29" s="402" t="s">
        <v>182</v>
      </c>
      <c r="C29" s="350"/>
      <c r="D29" s="350"/>
      <c r="E29" s="350"/>
      <c r="F29" s="350"/>
      <c r="G29" s="350"/>
      <c r="H29" s="350"/>
      <c r="I29" s="350"/>
      <c r="J29" s="157"/>
      <c r="K29" s="403"/>
      <c r="L29" s="415"/>
      <c r="M29" s="415"/>
      <c r="N29" s="350"/>
      <c r="O29" s="396"/>
    </row>
    <row r="30" spans="1:15" ht="15" x14ac:dyDescent="0.25">
      <c r="A30" s="350"/>
      <c r="B30" s="402" t="s">
        <v>183</v>
      </c>
      <c r="C30" s="350"/>
      <c r="D30" s="350"/>
      <c r="E30" s="350"/>
      <c r="F30" s="350"/>
      <c r="G30" s="350"/>
      <c r="H30" s="350"/>
      <c r="I30" s="350"/>
      <c r="J30" s="157"/>
      <c r="K30" s="403"/>
      <c r="L30" s="415"/>
      <c r="M30" s="415"/>
      <c r="N30" s="350"/>
      <c r="O30" s="396"/>
    </row>
    <row r="31" spans="1:15" ht="15" x14ac:dyDescent="0.25">
      <c r="A31" s="350"/>
      <c r="B31" s="402" t="s">
        <v>184</v>
      </c>
      <c r="C31" s="350"/>
      <c r="D31" s="350"/>
      <c r="E31" s="350"/>
      <c r="F31" s="350"/>
      <c r="G31" s="350"/>
      <c r="H31" s="350"/>
      <c r="I31" s="350"/>
      <c r="J31" s="157"/>
      <c r="K31" s="403"/>
      <c r="L31" s="415"/>
      <c r="M31" s="415"/>
      <c r="N31" s="350"/>
      <c r="O31" s="396"/>
    </row>
    <row r="32" spans="1:15" ht="15" x14ac:dyDescent="0.25">
      <c r="A32" s="350"/>
      <c r="B32" s="414" t="s">
        <v>185</v>
      </c>
      <c r="C32" s="350"/>
      <c r="D32" s="350"/>
      <c r="E32" s="350"/>
      <c r="F32" s="350"/>
      <c r="G32" s="350"/>
      <c r="H32" s="350"/>
      <c r="I32" s="350"/>
      <c r="J32" s="157"/>
      <c r="K32" s="403"/>
      <c r="L32" s="417">
        <f>SUM(L28:L31)</f>
        <v>0</v>
      </c>
      <c r="M32" s="417">
        <v>0</v>
      </c>
      <c r="N32" s="350"/>
      <c r="O32" s="396"/>
    </row>
    <row r="33" spans="1:16" ht="15" x14ac:dyDescent="0.25">
      <c r="A33" s="350"/>
      <c r="B33" s="414" t="s">
        <v>186</v>
      </c>
      <c r="C33" s="350"/>
      <c r="D33" s="350"/>
      <c r="E33" s="350"/>
      <c r="F33" s="350"/>
      <c r="G33" s="350"/>
      <c r="H33" s="350"/>
      <c r="I33" s="350"/>
      <c r="J33" s="157"/>
      <c r="K33" s="403"/>
      <c r="L33" s="415"/>
      <c r="M33" s="415"/>
      <c r="N33" s="350"/>
      <c r="O33" s="396"/>
    </row>
    <row r="34" spans="1:16" ht="15" x14ac:dyDescent="0.25">
      <c r="A34" s="350"/>
      <c r="B34" s="414" t="s">
        <v>187</v>
      </c>
      <c r="C34" s="350"/>
      <c r="D34" s="350"/>
      <c r="E34" s="350"/>
      <c r="F34" s="350"/>
      <c r="G34" s="350"/>
      <c r="H34" s="350"/>
      <c r="I34" s="350"/>
      <c r="J34" s="157"/>
      <c r="K34" s="403"/>
      <c r="L34" s="415"/>
      <c r="M34" s="415"/>
      <c r="N34" s="350"/>
      <c r="O34" s="396"/>
    </row>
    <row r="35" spans="1:16" ht="15" x14ac:dyDescent="0.25">
      <c r="A35" s="350"/>
      <c r="B35" s="402" t="s">
        <v>188</v>
      </c>
      <c r="C35" s="350"/>
      <c r="D35" s="350"/>
      <c r="E35" s="350"/>
      <c r="F35" s="350"/>
      <c r="G35" s="350"/>
      <c r="H35" s="350"/>
      <c r="I35" s="350"/>
      <c r="J35" s="157"/>
      <c r="K35" s="403"/>
      <c r="L35" s="415"/>
      <c r="M35" s="415"/>
      <c r="N35" s="350"/>
      <c r="O35" s="396"/>
    </row>
    <row r="36" spans="1:16" ht="15" x14ac:dyDescent="0.25">
      <c r="A36" s="350"/>
      <c r="B36" s="402" t="s">
        <v>189</v>
      </c>
      <c r="C36" s="350"/>
      <c r="D36" s="350"/>
      <c r="E36" s="350"/>
      <c r="F36" s="350"/>
      <c r="G36" s="350"/>
      <c r="H36" s="350"/>
      <c r="I36" s="350"/>
      <c r="J36" s="157"/>
      <c r="K36" s="403"/>
      <c r="L36" s="415"/>
      <c r="M36" s="415">
        <v>91315112.170000002</v>
      </c>
      <c r="N36" s="350"/>
      <c r="O36" s="396"/>
    </row>
    <row r="37" spans="1:16" ht="15" x14ac:dyDescent="0.25">
      <c r="A37" s="350"/>
      <c r="B37" s="402" t="s">
        <v>917</v>
      </c>
      <c r="C37" s="350"/>
      <c r="D37" s="350"/>
      <c r="E37" s="350"/>
      <c r="F37" s="350"/>
      <c r="G37" s="350"/>
      <c r="H37" s="350"/>
      <c r="I37" s="350"/>
      <c r="J37" s="157"/>
      <c r="K37" s="403"/>
      <c r="L37" s="415">
        <f>+trial!B182+trial!B186</f>
        <v>77317713</v>
      </c>
      <c r="M37" s="415"/>
      <c r="N37" s="350"/>
      <c r="O37" s="396"/>
    </row>
    <row r="38" spans="1:16" ht="15" x14ac:dyDescent="0.25">
      <c r="A38" s="350"/>
      <c r="B38" s="402" t="s">
        <v>923</v>
      </c>
      <c r="C38" s="350"/>
      <c r="D38" s="350"/>
      <c r="E38" s="350"/>
      <c r="F38" s="350"/>
      <c r="G38" s="350"/>
      <c r="H38" s="350"/>
      <c r="I38" s="350"/>
      <c r="J38" s="157"/>
      <c r="K38" s="403"/>
      <c r="L38" s="415">
        <f>+trial!B190+trial!B187+trial!B189</f>
        <v>70024083.299999997</v>
      </c>
      <c r="M38" s="415"/>
      <c r="N38" s="350"/>
      <c r="O38" s="396"/>
    </row>
    <row r="39" spans="1:16" ht="15" x14ac:dyDescent="0.25">
      <c r="A39" s="350"/>
      <c r="B39" s="402" t="s">
        <v>918</v>
      </c>
      <c r="C39" s="350"/>
      <c r="D39" s="350"/>
      <c r="E39" s="350"/>
      <c r="F39" s="350"/>
      <c r="G39" s="350"/>
      <c r="H39" s="350"/>
      <c r="I39" s="350"/>
      <c r="J39" s="157"/>
      <c r="K39" s="403"/>
      <c r="L39" s="415">
        <f>+trial!B183+trial!B200</f>
        <v>112749839.90000001</v>
      </c>
      <c r="M39" s="415"/>
      <c r="N39" s="354"/>
      <c r="O39" s="396"/>
    </row>
    <row r="40" spans="1:16" ht="15" x14ac:dyDescent="0.25">
      <c r="A40" s="350"/>
      <c r="B40" s="402" t="s">
        <v>924</v>
      </c>
      <c r="C40" s="350"/>
      <c r="D40" s="350"/>
      <c r="E40" s="350"/>
      <c r="F40" s="350"/>
      <c r="G40" s="350"/>
      <c r="H40" s="350"/>
      <c r="I40" s="350"/>
      <c r="J40" s="157"/>
      <c r="K40" s="403"/>
      <c r="L40" s="415">
        <f>+trial!B180+trial!B181+trial!B184+trial!B185+trial!B191+trial!B192</f>
        <v>23438332</v>
      </c>
      <c r="M40" s="415"/>
      <c r="N40" s="350"/>
      <c r="O40" s="396"/>
    </row>
    <row r="41" spans="1:16" ht="15" x14ac:dyDescent="0.25">
      <c r="A41" s="350"/>
      <c r="B41" s="414" t="s">
        <v>410</v>
      </c>
      <c r="C41" s="350"/>
      <c r="D41" s="350"/>
      <c r="E41" s="350"/>
      <c r="F41" s="350"/>
      <c r="G41" s="350"/>
      <c r="H41" s="350"/>
      <c r="I41" s="350"/>
      <c r="J41" s="157"/>
      <c r="K41" s="403"/>
      <c r="L41" s="415">
        <v>0</v>
      </c>
      <c r="M41" s="415"/>
      <c r="N41" s="350"/>
      <c r="O41" s="396"/>
      <c r="P41" s="41"/>
    </row>
    <row r="42" spans="1:16" ht="15" x14ac:dyDescent="0.25">
      <c r="A42" s="350"/>
      <c r="B42" s="418" t="s">
        <v>190</v>
      </c>
      <c r="C42" s="409"/>
      <c r="D42" s="409"/>
      <c r="E42" s="409"/>
      <c r="F42" s="409"/>
      <c r="G42" s="409"/>
      <c r="H42" s="409"/>
      <c r="I42" s="409"/>
      <c r="J42" s="175"/>
      <c r="K42" s="419"/>
      <c r="L42" s="420">
        <f>SUM(L35:L41)</f>
        <v>283529968.20000005</v>
      </c>
      <c r="M42" s="420">
        <v>91315112.170000002</v>
      </c>
      <c r="N42" s="350"/>
      <c r="O42" s="396"/>
    </row>
    <row r="43" spans="1:16" ht="15" x14ac:dyDescent="0.25">
      <c r="A43" s="350"/>
      <c r="B43" s="404" t="s">
        <v>203</v>
      </c>
      <c r="C43" s="421"/>
      <c r="D43" s="421"/>
      <c r="E43" s="421"/>
      <c r="F43" s="421"/>
      <c r="G43" s="421"/>
      <c r="H43" s="421"/>
      <c r="I43" s="421"/>
      <c r="J43" s="176"/>
      <c r="K43" s="422"/>
      <c r="L43" s="174">
        <f>L42+L32+L26</f>
        <v>283529968.20000005</v>
      </c>
      <c r="M43" s="174">
        <v>91315112.170000002</v>
      </c>
      <c r="N43" s="350"/>
      <c r="O43" s="396"/>
    </row>
    <row r="44" spans="1:16" ht="15" x14ac:dyDescent="0.25">
      <c r="A44" s="350"/>
      <c r="B44" s="355"/>
      <c r="C44" s="350"/>
      <c r="D44" s="350"/>
      <c r="E44" s="350"/>
      <c r="F44" s="350"/>
      <c r="G44" s="350"/>
      <c r="H44" s="350"/>
      <c r="I44" s="350"/>
      <c r="J44" s="157"/>
      <c r="K44" s="350"/>
      <c r="L44" s="151"/>
      <c r="M44" s="151"/>
      <c r="N44" s="151"/>
      <c r="O44" s="396"/>
    </row>
    <row r="45" spans="1:16" ht="15" x14ac:dyDescent="0.25">
      <c r="A45" s="355" t="s">
        <v>409</v>
      </c>
      <c r="B45" s="355" t="s">
        <v>9</v>
      </c>
      <c r="C45" s="350"/>
      <c r="D45" s="350"/>
      <c r="E45" s="350"/>
      <c r="F45" s="350"/>
      <c r="G45" s="350"/>
      <c r="H45" s="350"/>
      <c r="I45" s="350"/>
      <c r="J45" s="160"/>
      <c r="K45" s="350"/>
      <c r="L45" s="354"/>
      <c r="M45" s="350"/>
      <c r="N45" s="350"/>
      <c r="O45" s="396"/>
    </row>
    <row r="46" spans="1:16" ht="15" customHeight="1" x14ac:dyDescent="0.25">
      <c r="A46" s="350"/>
      <c r="B46" s="777" t="s">
        <v>0</v>
      </c>
      <c r="C46" s="778"/>
      <c r="D46" s="778"/>
      <c r="E46" s="778"/>
      <c r="F46" s="778"/>
      <c r="G46" s="779"/>
      <c r="H46" s="783" t="s">
        <v>1040</v>
      </c>
      <c r="I46" s="785" t="str">
        <f>L5</f>
        <v>As at March 31 2025</v>
      </c>
      <c r="J46" s="786"/>
      <c r="K46" s="787" t="s">
        <v>706</v>
      </c>
      <c r="L46" s="788"/>
      <c r="M46" s="350"/>
      <c r="N46" s="350"/>
      <c r="O46" s="396"/>
    </row>
    <row r="47" spans="1:16" ht="15" x14ac:dyDescent="0.25">
      <c r="A47" s="350"/>
      <c r="B47" s="780"/>
      <c r="C47" s="781"/>
      <c r="D47" s="781"/>
      <c r="E47" s="781"/>
      <c r="F47" s="781"/>
      <c r="G47" s="782"/>
      <c r="H47" s="784"/>
      <c r="I47" s="423" t="s">
        <v>1041</v>
      </c>
      <c r="J47" s="177" t="s">
        <v>480</v>
      </c>
      <c r="K47" s="423" t="s">
        <v>1041</v>
      </c>
      <c r="L47" s="424" t="s">
        <v>480</v>
      </c>
      <c r="M47" s="350"/>
      <c r="N47" s="350"/>
      <c r="O47" s="396"/>
    </row>
    <row r="48" spans="1:16" ht="15" x14ac:dyDescent="0.25">
      <c r="A48" s="350"/>
      <c r="B48" s="425" t="s">
        <v>198</v>
      </c>
      <c r="C48" s="426"/>
      <c r="D48" s="426"/>
      <c r="E48" s="426"/>
      <c r="F48" s="426"/>
      <c r="G48" s="427"/>
      <c r="H48" s="428"/>
      <c r="I48" s="178"/>
      <c r="J48" s="179"/>
      <c r="K48" s="178"/>
      <c r="L48" s="180"/>
      <c r="M48" s="350"/>
      <c r="N48" s="350"/>
      <c r="O48" s="396"/>
    </row>
    <row r="49" spans="1:15" ht="15" x14ac:dyDescent="0.25">
      <c r="A49" s="350"/>
      <c r="B49" s="402" t="s">
        <v>193</v>
      </c>
      <c r="C49" s="350"/>
      <c r="D49" s="350"/>
      <c r="E49" s="350"/>
      <c r="F49" s="350"/>
      <c r="G49" s="403"/>
      <c r="H49" s="416"/>
      <c r="I49" s="154"/>
      <c r="J49" s="154"/>
      <c r="K49" s="154"/>
      <c r="L49" s="154"/>
      <c r="M49" s="350"/>
      <c r="N49" s="350"/>
      <c r="O49" s="396"/>
    </row>
    <row r="50" spans="1:15" ht="15" x14ac:dyDescent="0.25">
      <c r="A50" s="350"/>
      <c r="B50" s="414" t="s">
        <v>309</v>
      </c>
      <c r="C50" s="355"/>
      <c r="D50" s="355"/>
      <c r="E50" s="355"/>
      <c r="F50" s="355"/>
      <c r="G50" s="429"/>
      <c r="H50" s="430"/>
      <c r="I50" s="181">
        <v>0</v>
      </c>
      <c r="J50" s="182">
        <v>0</v>
      </c>
      <c r="K50" s="181">
        <v>0</v>
      </c>
      <c r="L50" s="182">
        <v>0</v>
      </c>
      <c r="M50" s="350"/>
      <c r="N50" s="350"/>
      <c r="O50" s="396"/>
    </row>
    <row r="51" spans="1:15" ht="15" x14ac:dyDescent="0.25">
      <c r="A51" s="350"/>
      <c r="B51" s="402" t="s">
        <v>194</v>
      </c>
      <c r="C51" s="350"/>
      <c r="D51" s="350"/>
      <c r="E51" s="350"/>
      <c r="F51" s="350"/>
      <c r="G51" s="403"/>
      <c r="H51" s="416"/>
      <c r="I51" s="181">
        <v>0</v>
      </c>
      <c r="J51" s="182">
        <v>0</v>
      </c>
      <c r="K51" s="181">
        <v>0</v>
      </c>
      <c r="L51" s="182">
        <v>0</v>
      </c>
      <c r="M51" s="350"/>
      <c r="N51" s="350"/>
      <c r="O51" s="396"/>
    </row>
    <row r="52" spans="1:15" ht="15" x14ac:dyDescent="0.25">
      <c r="A52" s="350"/>
      <c r="B52" s="402" t="s">
        <v>195</v>
      </c>
      <c r="C52" s="350"/>
      <c r="D52" s="350"/>
      <c r="E52" s="350"/>
      <c r="F52" s="350"/>
      <c r="G52" s="403"/>
      <c r="H52" s="416"/>
      <c r="I52" s="181">
        <v>0</v>
      </c>
      <c r="J52" s="182">
        <v>0</v>
      </c>
      <c r="K52" s="181">
        <v>0</v>
      </c>
      <c r="L52" s="182">
        <v>0</v>
      </c>
      <c r="M52" s="350"/>
      <c r="N52" s="350"/>
      <c r="O52" s="396"/>
    </row>
    <row r="53" spans="1:15" ht="15" x14ac:dyDescent="0.25">
      <c r="A53" s="350"/>
      <c r="B53" s="402" t="s">
        <v>196</v>
      </c>
      <c r="C53" s="350"/>
      <c r="D53" s="350"/>
      <c r="E53" s="350"/>
      <c r="F53" s="350"/>
      <c r="G53" s="403"/>
      <c r="H53" s="416"/>
      <c r="I53" s="181">
        <v>0</v>
      </c>
      <c r="J53" s="182">
        <v>0</v>
      </c>
      <c r="K53" s="181">
        <v>0</v>
      </c>
      <c r="L53" s="182">
        <v>0</v>
      </c>
      <c r="M53" s="350"/>
      <c r="N53" s="350"/>
      <c r="O53" s="396"/>
    </row>
    <row r="54" spans="1:15" ht="15" x14ac:dyDescent="0.25">
      <c r="A54" s="350"/>
      <c r="B54" s="402" t="s">
        <v>197</v>
      </c>
      <c r="C54" s="350"/>
      <c r="D54" s="350"/>
      <c r="E54" s="350"/>
      <c r="F54" s="350"/>
      <c r="G54" s="403"/>
      <c r="H54" s="416"/>
      <c r="I54" s="181">
        <v>0</v>
      </c>
      <c r="J54" s="182">
        <v>0</v>
      </c>
      <c r="K54" s="181">
        <v>0</v>
      </c>
      <c r="L54" s="182">
        <v>0</v>
      </c>
      <c r="M54" s="350"/>
      <c r="N54" s="350"/>
      <c r="O54" s="396"/>
    </row>
    <row r="55" spans="1:15" ht="15" x14ac:dyDescent="0.25">
      <c r="A55" s="350"/>
      <c r="B55" s="402" t="s">
        <v>411</v>
      </c>
      <c r="C55" s="350"/>
      <c r="D55" s="350"/>
      <c r="E55" s="350"/>
      <c r="F55" s="350"/>
      <c r="G55" s="403"/>
      <c r="H55" s="416"/>
      <c r="I55" s="181">
        <v>0</v>
      </c>
      <c r="J55" s="182">
        <v>0</v>
      </c>
      <c r="K55" s="181">
        <v>0</v>
      </c>
      <c r="L55" s="182">
        <v>0</v>
      </c>
      <c r="M55" s="350"/>
      <c r="N55" s="350"/>
      <c r="O55" s="396"/>
    </row>
    <row r="56" spans="1:15" ht="15" x14ac:dyDescent="0.25">
      <c r="A56" s="350"/>
      <c r="B56" s="402" t="s">
        <v>412</v>
      </c>
      <c r="C56" s="350"/>
      <c r="D56" s="350"/>
      <c r="E56" s="350"/>
      <c r="F56" s="350"/>
      <c r="G56" s="403"/>
      <c r="H56" s="416"/>
      <c r="I56" s="181">
        <v>0</v>
      </c>
      <c r="J56" s="182">
        <v>0</v>
      </c>
      <c r="K56" s="181">
        <v>0</v>
      </c>
      <c r="L56" s="182">
        <v>0</v>
      </c>
      <c r="M56" s="350"/>
      <c r="N56" s="350"/>
      <c r="O56" s="396"/>
    </row>
    <row r="57" spans="1:15" ht="15" x14ac:dyDescent="0.25">
      <c r="A57" s="350"/>
      <c r="B57" s="402" t="s">
        <v>413</v>
      </c>
      <c r="C57" s="350"/>
      <c r="D57" s="350"/>
      <c r="E57" s="350"/>
      <c r="F57" s="350"/>
      <c r="G57" s="403"/>
      <c r="H57" s="416"/>
      <c r="I57" s="181">
        <v>0</v>
      </c>
      <c r="J57" s="182">
        <v>0</v>
      </c>
      <c r="K57" s="181">
        <v>0</v>
      </c>
      <c r="L57" s="182">
        <v>0</v>
      </c>
      <c r="M57" s="350"/>
      <c r="N57" s="350"/>
      <c r="O57" s="396"/>
    </row>
    <row r="58" spans="1:15" ht="15" x14ac:dyDescent="0.25">
      <c r="A58" s="350"/>
      <c r="B58" s="402" t="s">
        <v>414</v>
      </c>
      <c r="C58" s="350"/>
      <c r="D58" s="350"/>
      <c r="E58" s="350"/>
      <c r="F58" s="350"/>
      <c r="G58" s="403"/>
      <c r="H58" s="416"/>
      <c r="I58" s="181">
        <v>0</v>
      </c>
      <c r="J58" s="182">
        <v>0</v>
      </c>
      <c r="K58" s="181">
        <v>0</v>
      </c>
      <c r="L58" s="182">
        <v>0</v>
      </c>
      <c r="M58" s="350"/>
      <c r="N58" s="350"/>
      <c r="O58" s="396"/>
    </row>
    <row r="59" spans="1:15" ht="15" x14ac:dyDescent="0.25">
      <c r="A59" s="350"/>
      <c r="B59" s="402" t="s">
        <v>295</v>
      </c>
      <c r="C59" s="350"/>
      <c r="D59" s="350"/>
      <c r="E59" s="350"/>
      <c r="F59" s="350"/>
      <c r="G59" s="403"/>
      <c r="H59" s="416"/>
      <c r="I59" s="183"/>
      <c r="J59" s="183"/>
      <c r="K59" s="183"/>
      <c r="L59" s="183"/>
      <c r="M59" s="350"/>
      <c r="N59" s="350"/>
      <c r="O59" s="396"/>
    </row>
    <row r="60" spans="1:15" ht="15" x14ac:dyDescent="0.25">
      <c r="A60" s="350"/>
      <c r="B60" s="402" t="s">
        <v>297</v>
      </c>
      <c r="C60" s="350"/>
      <c r="D60" s="350"/>
      <c r="E60" s="350"/>
      <c r="F60" s="350"/>
      <c r="G60" s="403"/>
      <c r="H60" s="416"/>
      <c r="I60" s="183">
        <v>0</v>
      </c>
      <c r="J60" s="182">
        <v>0</v>
      </c>
      <c r="K60" s="181">
        <v>0</v>
      </c>
      <c r="L60" s="182">
        <v>0</v>
      </c>
      <c r="M60" s="350"/>
      <c r="N60" s="350"/>
      <c r="O60" s="396"/>
    </row>
    <row r="61" spans="1:15" ht="15" x14ac:dyDescent="0.25">
      <c r="A61" s="350"/>
      <c r="B61" s="402" t="s">
        <v>298</v>
      </c>
      <c r="C61" s="350"/>
      <c r="D61" s="350"/>
      <c r="E61" s="350"/>
      <c r="F61" s="350"/>
      <c r="G61" s="403"/>
      <c r="H61" s="416"/>
      <c r="I61" s="183">
        <v>0</v>
      </c>
      <c r="J61" s="182">
        <v>0</v>
      </c>
      <c r="K61" s="181">
        <v>0</v>
      </c>
      <c r="L61" s="182">
        <v>0</v>
      </c>
      <c r="M61" s="431"/>
      <c r="N61" s="431"/>
      <c r="O61" s="396"/>
    </row>
    <row r="62" spans="1:15" ht="15" x14ac:dyDescent="0.25">
      <c r="A62" s="350"/>
      <c r="B62" s="402" t="s">
        <v>199</v>
      </c>
      <c r="C62" s="350"/>
      <c r="D62" s="350"/>
      <c r="E62" s="350"/>
      <c r="F62" s="350"/>
      <c r="G62" s="403"/>
      <c r="H62" s="416"/>
      <c r="I62" s="183">
        <v>0</v>
      </c>
      <c r="J62" s="182">
        <v>0</v>
      </c>
      <c r="K62" s="181">
        <v>0</v>
      </c>
      <c r="L62" s="182">
        <v>0</v>
      </c>
      <c r="M62" s="350"/>
      <c r="N62" s="350"/>
      <c r="O62" s="396"/>
    </row>
    <row r="63" spans="1:15" ht="15" x14ac:dyDescent="0.25">
      <c r="A63" s="350"/>
      <c r="B63" s="402" t="s">
        <v>308</v>
      </c>
      <c r="C63" s="350"/>
      <c r="D63" s="350"/>
      <c r="E63" s="350"/>
      <c r="F63" s="350"/>
      <c r="G63" s="403"/>
      <c r="H63" s="416"/>
      <c r="I63" s="183"/>
      <c r="J63" s="182">
        <v>0</v>
      </c>
      <c r="K63" s="183"/>
      <c r="L63" s="182">
        <v>0</v>
      </c>
      <c r="M63" s="350"/>
      <c r="N63" s="350"/>
      <c r="O63" s="396"/>
    </row>
    <row r="64" spans="1:15" ht="15" x14ac:dyDescent="0.25">
      <c r="A64" s="350"/>
      <c r="B64" s="402" t="s">
        <v>296</v>
      </c>
      <c r="C64" s="350"/>
      <c r="D64" s="350"/>
      <c r="E64" s="350"/>
      <c r="F64" s="350"/>
      <c r="G64" s="403"/>
      <c r="H64" s="416"/>
      <c r="I64" s="183">
        <v>0</v>
      </c>
      <c r="J64" s="183">
        <v>0</v>
      </c>
      <c r="K64" s="183">
        <v>0</v>
      </c>
      <c r="L64" s="183">
        <v>0</v>
      </c>
      <c r="M64" s="350"/>
      <c r="N64" s="350"/>
      <c r="O64" s="396"/>
    </row>
    <row r="65" spans="1:15" ht="15" x14ac:dyDescent="0.25">
      <c r="A65" s="350"/>
      <c r="B65" s="402" t="s">
        <v>352</v>
      </c>
      <c r="C65" s="350"/>
      <c r="D65" s="350"/>
      <c r="E65" s="350"/>
      <c r="F65" s="350"/>
      <c r="G65" s="403"/>
      <c r="H65" s="416"/>
      <c r="I65" s="183">
        <v>0</v>
      </c>
      <c r="J65" s="183">
        <v>0</v>
      </c>
      <c r="K65" s="183">
        <v>0</v>
      </c>
      <c r="L65" s="183">
        <v>0</v>
      </c>
      <c r="M65" s="350"/>
      <c r="N65" s="350"/>
      <c r="O65" s="396"/>
    </row>
    <row r="66" spans="1:15" ht="15" x14ac:dyDescent="0.25">
      <c r="A66" s="350"/>
      <c r="B66" s="402" t="s">
        <v>299</v>
      </c>
      <c r="C66" s="350"/>
      <c r="D66" s="350"/>
      <c r="E66" s="350"/>
      <c r="F66" s="350"/>
      <c r="G66" s="403"/>
      <c r="H66" s="416"/>
      <c r="I66" s="182">
        <f>+I65</f>
        <v>0</v>
      </c>
      <c r="J66" s="182">
        <f>+J65</f>
        <v>0</v>
      </c>
      <c r="K66" s="182">
        <f>+K65</f>
        <v>0</v>
      </c>
      <c r="L66" s="182">
        <f>+L65</f>
        <v>0</v>
      </c>
      <c r="M66" s="350"/>
      <c r="N66" s="350"/>
      <c r="O66" s="396"/>
    </row>
    <row r="67" spans="1:15" ht="15" x14ac:dyDescent="0.25">
      <c r="A67" s="350"/>
      <c r="B67" s="402" t="s">
        <v>300</v>
      </c>
      <c r="C67" s="350"/>
      <c r="D67" s="350"/>
      <c r="E67" s="350"/>
      <c r="F67" s="350"/>
      <c r="G67" s="403"/>
      <c r="H67" s="416"/>
      <c r="I67" s="183"/>
      <c r="J67" s="182">
        <f>+J63+J66</f>
        <v>0</v>
      </c>
      <c r="K67" s="183"/>
      <c r="L67" s="182">
        <f>+L63+L66</f>
        <v>0</v>
      </c>
      <c r="M67" s="350"/>
      <c r="N67" s="350"/>
      <c r="O67" s="396"/>
    </row>
    <row r="68" spans="1:15" ht="15" x14ac:dyDescent="0.25">
      <c r="A68" s="350"/>
      <c r="B68" s="402" t="s">
        <v>200</v>
      </c>
      <c r="C68" s="350"/>
      <c r="D68" s="350"/>
      <c r="E68" s="350"/>
      <c r="F68" s="350"/>
      <c r="G68" s="403"/>
      <c r="H68" s="416"/>
      <c r="I68" s="182">
        <v>0</v>
      </c>
      <c r="J68" s="182">
        <v>0</v>
      </c>
      <c r="K68" s="182">
        <v>0</v>
      </c>
      <c r="L68" s="182">
        <v>0</v>
      </c>
      <c r="M68" s="350"/>
      <c r="N68" s="350"/>
      <c r="O68" s="396"/>
    </row>
    <row r="69" spans="1:15" ht="15" x14ac:dyDescent="0.25">
      <c r="A69" s="350"/>
      <c r="B69" s="402" t="s">
        <v>174</v>
      </c>
      <c r="C69" s="350"/>
      <c r="D69" s="350"/>
      <c r="E69" s="350"/>
      <c r="F69" s="350"/>
      <c r="G69" s="403"/>
      <c r="H69" s="416"/>
      <c r="I69" s="183"/>
      <c r="J69" s="183"/>
      <c r="K69" s="183"/>
      <c r="L69" s="183"/>
      <c r="M69" s="350"/>
      <c r="N69" s="350"/>
      <c r="O69" s="396"/>
    </row>
    <row r="70" spans="1:15" ht="15" x14ac:dyDescent="0.25">
      <c r="A70" s="350"/>
      <c r="B70" s="402" t="s">
        <v>201</v>
      </c>
      <c r="C70" s="350"/>
      <c r="D70" s="350"/>
      <c r="E70" s="350"/>
      <c r="F70" s="350"/>
      <c r="G70" s="403"/>
      <c r="H70" s="416"/>
      <c r="I70" s="182">
        <f>+I68</f>
        <v>0</v>
      </c>
      <c r="J70" s="182">
        <f>+J68</f>
        <v>0</v>
      </c>
      <c r="K70" s="182">
        <f>+K68</f>
        <v>0</v>
      </c>
      <c r="L70" s="182">
        <f>+L68</f>
        <v>0</v>
      </c>
      <c r="M70" s="350"/>
      <c r="N70" s="350"/>
      <c r="O70" s="396"/>
    </row>
    <row r="71" spans="1:15" ht="15" x14ac:dyDescent="0.25">
      <c r="A71" s="350"/>
      <c r="B71" s="402" t="s">
        <v>202</v>
      </c>
      <c r="C71" s="350"/>
      <c r="D71" s="350"/>
      <c r="E71" s="350"/>
      <c r="F71" s="350"/>
      <c r="G71" s="403"/>
      <c r="H71" s="416"/>
      <c r="I71" s="183">
        <v>0</v>
      </c>
      <c r="J71" s="182">
        <v>0</v>
      </c>
      <c r="K71" s="183">
        <v>0</v>
      </c>
      <c r="L71" s="182">
        <v>0</v>
      </c>
      <c r="M71" s="350"/>
      <c r="N71" s="350"/>
      <c r="O71" s="396"/>
    </row>
    <row r="72" spans="1:15" ht="15" x14ac:dyDescent="0.25">
      <c r="A72" s="350"/>
      <c r="B72" s="414" t="s">
        <v>185</v>
      </c>
      <c r="C72" s="350"/>
      <c r="D72" s="350"/>
      <c r="E72" s="350"/>
      <c r="F72" s="350"/>
      <c r="G72" s="403"/>
      <c r="H72" s="416"/>
      <c r="I72" s="182">
        <f>+I70</f>
        <v>0</v>
      </c>
      <c r="J72" s="182">
        <f>+J70</f>
        <v>0</v>
      </c>
      <c r="K72" s="182">
        <f>+K70</f>
        <v>0</v>
      </c>
      <c r="L72" s="182">
        <f>+L70</f>
        <v>0</v>
      </c>
      <c r="M72" s="432"/>
      <c r="N72" s="432"/>
      <c r="O72" s="396"/>
    </row>
    <row r="73" spans="1:15" ht="15" x14ac:dyDescent="0.25">
      <c r="A73" s="350"/>
      <c r="B73" s="404" t="s">
        <v>203</v>
      </c>
      <c r="C73" s="405"/>
      <c r="D73" s="405"/>
      <c r="E73" s="405"/>
      <c r="F73" s="405"/>
      <c r="G73" s="433"/>
      <c r="H73" s="434"/>
      <c r="I73" s="184">
        <f>+I72</f>
        <v>0</v>
      </c>
      <c r="J73" s="184">
        <v>0</v>
      </c>
      <c r="K73" s="184">
        <f>+K72</f>
        <v>0</v>
      </c>
      <c r="L73" s="184">
        <v>0</v>
      </c>
      <c r="M73" s="432"/>
      <c r="N73" s="432"/>
      <c r="O73" s="396"/>
    </row>
    <row r="74" spans="1:15" ht="15" x14ac:dyDescent="0.25">
      <c r="A74" s="350"/>
      <c r="B74" s="355"/>
      <c r="C74" s="355"/>
      <c r="D74" s="355"/>
      <c r="E74" s="355"/>
      <c r="F74" s="355"/>
      <c r="G74" s="355"/>
      <c r="H74" s="355"/>
      <c r="I74" s="435"/>
      <c r="J74" s="157"/>
      <c r="K74" s="435"/>
      <c r="L74" s="435"/>
      <c r="M74" s="435"/>
      <c r="N74" s="435"/>
      <c r="O74" s="396"/>
    </row>
    <row r="75" spans="1:15" ht="15" x14ac:dyDescent="0.25">
      <c r="A75" s="355" t="s">
        <v>192</v>
      </c>
      <c r="B75" s="436" t="s">
        <v>294</v>
      </c>
      <c r="C75" s="350"/>
      <c r="D75" s="350"/>
      <c r="E75" s="350"/>
      <c r="F75" s="350"/>
      <c r="G75" s="350"/>
      <c r="H75" s="350"/>
      <c r="I75" s="350"/>
      <c r="J75" s="160"/>
      <c r="K75" s="350"/>
      <c r="L75" s="354"/>
      <c r="M75" s="350"/>
      <c r="N75" s="350"/>
      <c r="O75" s="396"/>
    </row>
    <row r="76" spans="1:15" ht="30" x14ac:dyDescent="0.25">
      <c r="A76" s="350"/>
      <c r="B76" s="801" t="s">
        <v>0</v>
      </c>
      <c r="C76" s="802"/>
      <c r="D76" s="802"/>
      <c r="E76" s="802"/>
      <c r="F76" s="802"/>
      <c r="G76" s="802"/>
      <c r="H76" s="802"/>
      <c r="I76" s="802"/>
      <c r="J76" s="802"/>
      <c r="K76" s="803"/>
      <c r="L76" s="437" t="str">
        <f>L5</f>
        <v>As at March 31 2025</v>
      </c>
      <c r="M76" s="438" t="s">
        <v>878</v>
      </c>
      <c r="N76" s="350"/>
      <c r="O76" s="396"/>
    </row>
    <row r="77" spans="1:15" ht="15" x14ac:dyDescent="0.25">
      <c r="A77" s="350"/>
      <c r="B77" s="439" t="s">
        <v>291</v>
      </c>
      <c r="C77" s="440"/>
      <c r="D77" s="440"/>
      <c r="E77" s="440"/>
      <c r="F77" s="440"/>
      <c r="G77" s="440"/>
      <c r="H77" s="440"/>
      <c r="I77" s="440"/>
      <c r="J77" s="185"/>
      <c r="K77" s="441"/>
      <c r="L77" s="442">
        <v>0</v>
      </c>
      <c r="M77" s="443">
        <v>0</v>
      </c>
      <c r="N77" s="350"/>
      <c r="O77" s="396"/>
    </row>
    <row r="78" spans="1:15" ht="15" x14ac:dyDescent="0.25">
      <c r="A78" s="350"/>
      <c r="B78" s="402" t="s">
        <v>812</v>
      </c>
      <c r="C78" s="350"/>
      <c r="D78" s="350"/>
      <c r="E78" s="350"/>
      <c r="F78" s="350"/>
      <c r="G78" s="350"/>
      <c r="H78" s="350"/>
      <c r="I78" s="350"/>
      <c r="J78" s="157"/>
      <c r="K78" s="403"/>
      <c r="L78" s="444">
        <f>trial!B126</f>
        <v>0</v>
      </c>
      <c r="M78" s="415">
        <v>0</v>
      </c>
      <c r="N78" s="350"/>
      <c r="O78" s="396"/>
    </row>
    <row r="79" spans="1:15" ht="15" x14ac:dyDescent="0.25">
      <c r="A79" s="350"/>
      <c r="B79" s="402" t="s">
        <v>809</v>
      </c>
      <c r="C79" s="350"/>
      <c r="D79" s="350"/>
      <c r="E79" s="350"/>
      <c r="F79" s="350"/>
      <c r="G79" s="350"/>
      <c r="H79" s="350"/>
      <c r="I79" s="350"/>
      <c r="J79" s="157"/>
      <c r="K79" s="403"/>
      <c r="L79" s="444">
        <f>trial!B135</f>
        <v>0</v>
      </c>
      <c r="M79" s="415">
        <v>0</v>
      </c>
      <c r="N79" s="350"/>
      <c r="O79" s="396"/>
    </row>
    <row r="80" spans="1:15" ht="15" x14ac:dyDescent="0.25">
      <c r="A80" s="350"/>
      <c r="B80" s="402" t="s">
        <v>826</v>
      </c>
      <c r="C80" s="350"/>
      <c r="D80" s="350"/>
      <c r="E80" s="350"/>
      <c r="F80" s="350"/>
      <c r="G80" s="350"/>
      <c r="H80" s="350"/>
      <c r="I80" s="350"/>
      <c r="J80" s="157"/>
      <c r="K80" s="403"/>
      <c r="L80" s="444">
        <f>trial!B112</f>
        <v>1747877.63</v>
      </c>
      <c r="M80" s="415"/>
      <c r="N80" s="350"/>
      <c r="O80" s="396"/>
    </row>
    <row r="81" spans="1:15" ht="15" x14ac:dyDescent="0.25">
      <c r="A81" s="350"/>
      <c r="B81" s="408" t="s">
        <v>830</v>
      </c>
      <c r="C81" s="409"/>
      <c r="D81" s="409"/>
      <c r="E81" s="409"/>
      <c r="F81" s="409"/>
      <c r="G81" s="409"/>
      <c r="H81" s="409"/>
      <c r="I81" s="409"/>
      <c r="J81" s="175"/>
      <c r="K81" s="419"/>
      <c r="L81" s="410">
        <f>trial!B113</f>
        <v>386798</v>
      </c>
      <c r="M81" s="445">
        <v>0</v>
      </c>
      <c r="N81" s="350"/>
      <c r="O81" s="396"/>
    </row>
    <row r="82" spans="1:15" ht="15" x14ac:dyDescent="0.25">
      <c r="A82" s="350"/>
      <c r="B82" s="446" t="s">
        <v>168</v>
      </c>
      <c r="C82" s="447"/>
      <c r="D82" s="447"/>
      <c r="E82" s="447"/>
      <c r="F82" s="447"/>
      <c r="G82" s="447"/>
      <c r="H82" s="447"/>
      <c r="I82" s="447"/>
      <c r="J82" s="186"/>
      <c r="K82" s="448"/>
      <c r="L82" s="187">
        <f>SUM(L77:L81)</f>
        <v>2134675.63</v>
      </c>
      <c r="M82" s="187">
        <f>+M77</f>
        <v>0</v>
      </c>
      <c r="N82" s="350"/>
      <c r="O82" s="396"/>
    </row>
    <row r="83" spans="1:15" ht="15" x14ac:dyDescent="0.25">
      <c r="A83" s="350"/>
      <c r="B83" s="350"/>
      <c r="C83" s="350"/>
      <c r="D83" s="350"/>
      <c r="E83" s="350"/>
      <c r="F83" s="350"/>
      <c r="G83" s="350"/>
      <c r="H83" s="350"/>
      <c r="I83" s="350"/>
      <c r="J83" s="160"/>
      <c r="K83" s="350"/>
      <c r="L83" s="354"/>
      <c r="M83" s="350"/>
      <c r="N83" s="350"/>
      <c r="O83" s="396"/>
    </row>
    <row r="84" spans="1:15" ht="15" x14ac:dyDescent="0.25">
      <c r="A84" s="355" t="s">
        <v>204</v>
      </c>
      <c r="B84" s="355" t="s">
        <v>205</v>
      </c>
      <c r="C84" s="350"/>
      <c r="D84" s="350"/>
      <c r="E84" s="350"/>
      <c r="F84" s="350"/>
      <c r="G84" s="350"/>
      <c r="H84" s="350"/>
      <c r="I84" s="350"/>
      <c r="J84" s="160"/>
      <c r="K84" s="350"/>
      <c r="L84" s="354"/>
      <c r="M84" s="350"/>
      <c r="N84" s="350"/>
      <c r="O84" s="396"/>
    </row>
    <row r="85" spans="1:15" ht="30" x14ac:dyDescent="0.25">
      <c r="A85" s="350"/>
      <c r="B85" s="776" t="s">
        <v>0</v>
      </c>
      <c r="C85" s="792"/>
      <c r="D85" s="792"/>
      <c r="E85" s="792"/>
      <c r="F85" s="792"/>
      <c r="G85" s="792"/>
      <c r="H85" s="792"/>
      <c r="I85" s="792"/>
      <c r="J85" s="792"/>
      <c r="K85" s="793"/>
      <c r="L85" s="397" t="str">
        <f>L5</f>
        <v>As at March 31 2025</v>
      </c>
      <c r="M85" s="398" t="str">
        <f>M76</f>
        <v>As at March 31  2024</v>
      </c>
      <c r="N85" s="350"/>
      <c r="O85" s="396"/>
    </row>
    <row r="86" spans="1:15" ht="15" x14ac:dyDescent="0.25">
      <c r="A86" s="350"/>
      <c r="B86" s="439" t="s">
        <v>415</v>
      </c>
      <c r="C86" s="440"/>
      <c r="D86" s="440"/>
      <c r="E86" s="440"/>
      <c r="F86" s="440"/>
      <c r="G86" s="440"/>
      <c r="H86" s="440"/>
      <c r="I86" s="440"/>
      <c r="J86" s="185"/>
      <c r="K86" s="441"/>
      <c r="L86" s="188">
        <f>trial!B125</f>
        <v>4974284.6900000004</v>
      </c>
      <c r="M86" s="189">
        <v>720864.69</v>
      </c>
      <c r="N86" s="402"/>
      <c r="O86" s="396"/>
    </row>
    <row r="87" spans="1:15" ht="15" x14ac:dyDescent="0.25">
      <c r="A87" s="350"/>
      <c r="B87" s="402" t="s">
        <v>812</v>
      </c>
      <c r="C87" s="350"/>
      <c r="D87" s="350"/>
      <c r="E87" s="350"/>
      <c r="F87" s="350"/>
      <c r="G87" s="350"/>
      <c r="H87" s="350"/>
      <c r="I87" s="350"/>
      <c r="J87" s="157"/>
      <c r="K87" s="403"/>
      <c r="L87" s="190">
        <f>trial!B133</f>
        <v>2589304.5099999998</v>
      </c>
      <c r="M87" s="154">
        <v>720000</v>
      </c>
      <c r="N87" s="402"/>
      <c r="O87" s="396"/>
    </row>
    <row r="88" spans="1:15" ht="15" x14ac:dyDescent="0.25">
      <c r="A88" s="350"/>
      <c r="B88" s="402" t="s">
        <v>815</v>
      </c>
      <c r="C88" s="350"/>
      <c r="D88" s="350"/>
      <c r="E88" s="350"/>
      <c r="F88" s="350"/>
      <c r="G88" s="350"/>
      <c r="H88" s="350"/>
      <c r="I88" s="350"/>
      <c r="J88" s="157"/>
      <c r="K88" s="403"/>
      <c r="L88" s="190">
        <f>trial!B201+trial!B114</f>
        <v>451954</v>
      </c>
      <c r="M88" s="154">
        <v>0</v>
      </c>
      <c r="N88" s="402"/>
      <c r="O88" s="396"/>
    </row>
    <row r="89" spans="1:15" ht="15" x14ac:dyDescent="0.25">
      <c r="A89" s="350"/>
      <c r="B89" s="408" t="s">
        <v>580</v>
      </c>
      <c r="C89" s="409"/>
      <c r="D89" s="409"/>
      <c r="E89" s="409"/>
      <c r="F89" s="409"/>
      <c r="G89" s="409"/>
      <c r="H89" s="409"/>
      <c r="I89" s="409"/>
      <c r="J89" s="175"/>
      <c r="K89" s="419"/>
      <c r="L89" s="191">
        <f>trial!B139+trial!B140+trial!B141-trial!C156-trial!C158+trial!B157</f>
        <v>143068.06999999995</v>
      </c>
      <c r="M89" s="192">
        <v>396691.37</v>
      </c>
      <c r="N89" s="449"/>
      <c r="O89" s="396"/>
    </row>
    <row r="90" spans="1:15" ht="15" x14ac:dyDescent="0.25">
      <c r="A90" s="350"/>
      <c r="B90" s="404" t="s">
        <v>168</v>
      </c>
      <c r="C90" s="405"/>
      <c r="D90" s="405"/>
      <c r="E90" s="405"/>
      <c r="F90" s="405"/>
      <c r="G90" s="405"/>
      <c r="H90" s="405"/>
      <c r="I90" s="405"/>
      <c r="J90" s="173"/>
      <c r="K90" s="433"/>
      <c r="L90" s="174">
        <f>SUM(L86:L89)</f>
        <v>8158611.2700000005</v>
      </c>
      <c r="M90" s="174">
        <v>1837556.06</v>
      </c>
      <c r="N90" s="350"/>
      <c r="O90" s="396"/>
    </row>
    <row r="91" spans="1:15" ht="14.4" customHeight="1" x14ac:dyDescent="0.25">
      <c r="A91" s="350"/>
      <c r="B91" s="350"/>
      <c r="D91" s="350"/>
      <c r="E91" s="350"/>
      <c r="F91" s="350"/>
      <c r="G91" s="350"/>
      <c r="H91" s="350"/>
      <c r="I91" s="350"/>
      <c r="J91" s="157"/>
      <c r="K91" s="350"/>
      <c r="L91" s="354"/>
      <c r="M91" s="193"/>
      <c r="N91" s="157"/>
      <c r="O91" s="396"/>
    </row>
    <row r="92" spans="1:15" ht="20.25" customHeight="1" x14ac:dyDescent="0.25">
      <c r="A92" s="355" t="s">
        <v>206</v>
      </c>
      <c r="B92" s="350"/>
      <c r="C92" s="355" t="s">
        <v>879</v>
      </c>
      <c r="D92" s="350"/>
      <c r="E92" s="350"/>
      <c r="F92" s="350"/>
      <c r="G92" s="350"/>
      <c r="H92" s="350"/>
      <c r="I92" s="350"/>
      <c r="J92" s="160"/>
      <c r="K92" s="350"/>
      <c r="L92" s="354"/>
      <c r="M92" s="350"/>
      <c r="N92" s="350"/>
      <c r="O92" s="396"/>
    </row>
    <row r="93" spans="1:15" ht="75" x14ac:dyDescent="0.25">
      <c r="A93" s="450"/>
      <c r="B93" s="776" t="s">
        <v>209</v>
      </c>
      <c r="C93" s="792"/>
      <c r="D93" s="792"/>
      <c r="E93" s="792"/>
      <c r="F93" s="792"/>
      <c r="G93" s="792"/>
      <c r="H93" s="792"/>
      <c r="I93" s="793"/>
      <c r="J93" s="194" t="s">
        <v>212</v>
      </c>
      <c r="K93" s="451" t="s">
        <v>213</v>
      </c>
      <c r="L93" s="452" t="s">
        <v>214</v>
      </c>
      <c r="M93" s="451" t="s">
        <v>215</v>
      </c>
      <c r="N93" s="451" t="s">
        <v>216</v>
      </c>
      <c r="O93" s="396"/>
    </row>
    <row r="94" spans="1:15" ht="15" x14ac:dyDescent="0.25">
      <c r="A94" s="348"/>
      <c r="B94" s="453" t="s">
        <v>210</v>
      </c>
      <c r="C94" s="348"/>
      <c r="D94" s="348"/>
      <c r="E94" s="348"/>
      <c r="F94" s="348"/>
      <c r="G94" s="348"/>
      <c r="H94" s="348"/>
      <c r="I94" s="348"/>
      <c r="J94" s="195"/>
      <c r="K94" s="454"/>
      <c r="L94" s="454"/>
      <c r="M94" s="454"/>
      <c r="N94" s="454"/>
      <c r="O94" s="396"/>
    </row>
    <row r="95" spans="1:15" ht="30" customHeight="1" x14ac:dyDescent="0.25">
      <c r="A95" s="348"/>
      <c r="B95" s="455" t="s">
        <v>207</v>
      </c>
      <c r="C95" s="348"/>
      <c r="D95" s="348"/>
      <c r="E95" s="348"/>
      <c r="F95" s="348"/>
      <c r="G95" s="348"/>
      <c r="H95" s="348"/>
      <c r="I95" s="348"/>
      <c r="J95" s="257">
        <v>0</v>
      </c>
      <c r="K95" s="196">
        <v>0</v>
      </c>
      <c r="L95" s="257">
        <v>0</v>
      </c>
      <c r="M95" s="257">
        <v>0</v>
      </c>
      <c r="N95" s="196">
        <f>+J95+K95+L95+M95</f>
        <v>0</v>
      </c>
      <c r="O95" s="396"/>
    </row>
    <row r="96" spans="1:15" ht="15" x14ac:dyDescent="0.25">
      <c r="A96" s="348"/>
      <c r="B96" s="455" t="s">
        <v>208</v>
      </c>
      <c r="C96" s="348"/>
      <c r="D96" s="348"/>
      <c r="E96" s="348"/>
      <c r="F96" s="348"/>
      <c r="G96" s="348"/>
      <c r="H96" s="348"/>
      <c r="I96" s="348"/>
      <c r="J96" s="257">
        <v>0</v>
      </c>
      <c r="K96" s="196">
        <v>0</v>
      </c>
      <c r="L96" s="257">
        <v>0</v>
      </c>
      <c r="M96" s="257">
        <v>0</v>
      </c>
      <c r="N96" s="196">
        <f>+J96+K96+L96+M96</f>
        <v>0</v>
      </c>
      <c r="O96" s="396"/>
    </row>
    <row r="97" spans="1:15" ht="15" x14ac:dyDescent="0.25">
      <c r="A97" s="348"/>
      <c r="B97" s="455" t="s">
        <v>439</v>
      </c>
      <c r="C97" s="348"/>
      <c r="D97" s="348"/>
      <c r="E97" s="348"/>
      <c r="F97" s="348"/>
      <c r="G97" s="348"/>
      <c r="H97" s="348"/>
      <c r="I97" s="348"/>
      <c r="J97" s="197">
        <v>83434.325133374979</v>
      </c>
      <c r="K97" s="197">
        <f>(('fa note'!F18-'Income Tax Fixed Asset'!G23)*33.9%)</f>
        <v>201985.40782872995</v>
      </c>
      <c r="L97" s="257">
        <v>0</v>
      </c>
      <c r="M97" s="257">
        <v>0</v>
      </c>
      <c r="N97" s="196">
        <f>+J97+K97+L97+M97</f>
        <v>285419.73296210496</v>
      </c>
      <c r="O97" s="396"/>
    </row>
    <row r="98" spans="1:15" ht="15" x14ac:dyDescent="0.25">
      <c r="A98" s="348"/>
      <c r="B98" s="453" t="s">
        <v>211</v>
      </c>
      <c r="C98" s="348"/>
      <c r="D98" s="348"/>
      <c r="E98" s="348"/>
      <c r="F98" s="348"/>
      <c r="G98" s="348"/>
      <c r="H98" s="348"/>
      <c r="I98" s="348"/>
      <c r="J98" s="197"/>
      <c r="K98" s="197"/>
      <c r="L98" s="257"/>
      <c r="M98" s="257"/>
      <c r="N98" s="196"/>
      <c r="O98" s="396"/>
    </row>
    <row r="99" spans="1:15" ht="15" x14ac:dyDescent="0.25">
      <c r="A99" s="348"/>
      <c r="B99" s="455" t="s">
        <v>435</v>
      </c>
      <c r="C99" s="348"/>
      <c r="D99" s="348"/>
      <c r="E99" s="348"/>
      <c r="F99" s="348"/>
      <c r="G99" s="348"/>
      <c r="H99" s="348"/>
      <c r="I99" s="348"/>
      <c r="J99" s="197">
        <v>-731109</v>
      </c>
      <c r="K99" s="197">
        <v>0</v>
      </c>
      <c r="L99" s="257">
        <v>0</v>
      </c>
      <c r="M99" s="257">
        <v>0</v>
      </c>
      <c r="N99" s="196">
        <f>+J99+K99+L99+M99</f>
        <v>-731109</v>
      </c>
      <c r="O99" s="396"/>
    </row>
    <row r="100" spans="1:15" ht="15" x14ac:dyDescent="0.25">
      <c r="A100" s="350"/>
      <c r="B100" s="456" t="s">
        <v>209</v>
      </c>
      <c r="C100" s="421"/>
      <c r="D100" s="421"/>
      <c r="E100" s="421"/>
      <c r="F100" s="421"/>
      <c r="G100" s="421"/>
      <c r="H100" s="421"/>
      <c r="I100" s="422"/>
      <c r="J100" s="198">
        <f>SUM(J95:J99)</f>
        <v>-647674.67486662499</v>
      </c>
      <c r="K100" s="457">
        <f>SUM(K95:K99)</f>
        <v>201985.40782872995</v>
      </c>
      <c r="L100" s="457">
        <f>SUM(L95:L99)</f>
        <v>0</v>
      </c>
      <c r="M100" s="457">
        <f>SUM(M95:M99)</f>
        <v>0</v>
      </c>
      <c r="N100" s="457">
        <f>SUM(N95:N99)</f>
        <v>-445689.26703789504</v>
      </c>
      <c r="O100" s="396"/>
    </row>
    <row r="101" spans="1:15" ht="15" x14ac:dyDescent="0.25">
      <c r="A101" s="350"/>
      <c r="B101" s="350"/>
      <c r="C101" s="350"/>
      <c r="D101" s="350"/>
      <c r="E101" s="350"/>
      <c r="F101" s="350"/>
      <c r="G101" s="350"/>
      <c r="H101" s="350"/>
      <c r="I101" s="350"/>
      <c r="J101" s="160"/>
      <c r="K101" s="350"/>
      <c r="L101" s="354"/>
      <c r="M101" s="350"/>
      <c r="N101" s="350"/>
      <c r="O101" s="396"/>
    </row>
    <row r="102" spans="1:15" ht="15" x14ac:dyDescent="0.25">
      <c r="A102" s="350"/>
      <c r="B102" s="355" t="s">
        <v>884</v>
      </c>
      <c r="C102" s="350"/>
      <c r="D102" s="350"/>
      <c r="E102" s="350"/>
      <c r="F102" s="350"/>
      <c r="G102" s="350"/>
      <c r="H102" s="350"/>
      <c r="I102" s="350"/>
      <c r="J102" s="160"/>
      <c r="K102" s="350"/>
      <c r="L102" s="354"/>
      <c r="M102" s="350"/>
      <c r="N102" s="350"/>
      <c r="O102" s="396"/>
    </row>
    <row r="103" spans="1:15" ht="75" x14ac:dyDescent="0.25">
      <c r="A103" s="350"/>
      <c r="B103" s="807" t="s">
        <v>209</v>
      </c>
      <c r="C103" s="808"/>
      <c r="D103" s="808"/>
      <c r="E103" s="808"/>
      <c r="F103" s="808"/>
      <c r="G103" s="808"/>
      <c r="H103" s="808"/>
      <c r="I103" s="809"/>
      <c r="J103" s="199" t="s">
        <v>212</v>
      </c>
      <c r="K103" s="458" t="s">
        <v>213</v>
      </c>
      <c r="L103" s="459" t="s">
        <v>214</v>
      </c>
      <c r="M103" s="458" t="s">
        <v>215</v>
      </c>
      <c r="N103" s="458" t="s">
        <v>216</v>
      </c>
      <c r="O103" s="396"/>
    </row>
    <row r="104" spans="1:15" ht="15" x14ac:dyDescent="0.25">
      <c r="A104" s="350"/>
      <c r="B104" s="460" t="s">
        <v>210</v>
      </c>
      <c r="C104" s="348"/>
      <c r="D104" s="348"/>
      <c r="E104" s="348"/>
      <c r="F104" s="348"/>
      <c r="G104" s="348"/>
      <c r="H104" s="348"/>
      <c r="I104" s="348"/>
      <c r="J104" s="195"/>
      <c r="K104" s="454"/>
      <c r="L104" s="454"/>
      <c r="M104" s="454"/>
      <c r="N104" s="454"/>
      <c r="O104" s="396"/>
    </row>
    <row r="105" spans="1:15" ht="15" x14ac:dyDescent="0.25">
      <c r="A105" s="350"/>
      <c r="B105" s="461" t="s">
        <v>207</v>
      </c>
      <c r="C105" s="348"/>
      <c r="D105" s="348"/>
      <c r="E105" s="348"/>
      <c r="F105" s="348"/>
      <c r="G105" s="348"/>
      <c r="H105" s="348"/>
      <c r="I105" s="348"/>
      <c r="J105" s="200">
        <v>0</v>
      </c>
      <c r="K105" s="200">
        <v>0</v>
      </c>
      <c r="L105" s="200">
        <v>0</v>
      </c>
      <c r="M105" s="200">
        <v>0</v>
      </c>
      <c r="N105" s="200">
        <v>0</v>
      </c>
      <c r="O105" s="396"/>
    </row>
    <row r="106" spans="1:15" ht="15" x14ac:dyDescent="0.25">
      <c r="A106" s="350"/>
      <c r="B106" s="461" t="s">
        <v>208</v>
      </c>
      <c r="C106" s="348"/>
      <c r="D106" s="348"/>
      <c r="E106" s="348"/>
      <c r="F106" s="348"/>
      <c r="G106" s="348"/>
      <c r="H106" s="348"/>
      <c r="I106" s="348"/>
      <c r="J106" s="196">
        <v>0</v>
      </c>
      <c r="K106" s="196"/>
      <c r="L106" s="196">
        <v>0</v>
      </c>
      <c r="M106" s="196">
        <v>0</v>
      </c>
      <c r="N106" s="200">
        <v>0</v>
      </c>
      <c r="O106" s="396"/>
    </row>
    <row r="107" spans="1:15" ht="15" x14ac:dyDescent="0.25">
      <c r="A107" s="350"/>
      <c r="B107" s="461" t="s">
        <v>439</v>
      </c>
      <c r="C107" s="348"/>
      <c r="D107" s="348"/>
      <c r="E107" s="348"/>
      <c r="F107" s="348"/>
      <c r="G107" s="348"/>
      <c r="H107" s="348"/>
      <c r="I107" s="348"/>
      <c r="J107" s="201">
        <v>10705.282843299983</v>
      </c>
      <c r="K107" s="201">
        <v>72729.042290074998</v>
      </c>
      <c r="L107" s="200">
        <v>0</v>
      </c>
      <c r="M107" s="200">
        <v>0</v>
      </c>
      <c r="N107" s="200">
        <v>83434.325133374979</v>
      </c>
      <c r="O107" s="396"/>
    </row>
    <row r="108" spans="1:15" ht="15" x14ac:dyDescent="0.25">
      <c r="A108" s="350"/>
      <c r="B108" s="460" t="s">
        <v>211</v>
      </c>
      <c r="C108" s="348"/>
      <c r="D108" s="348"/>
      <c r="E108" s="348"/>
      <c r="F108" s="348"/>
      <c r="G108" s="348"/>
      <c r="H108" s="348"/>
      <c r="I108" s="348"/>
      <c r="J108" s="201">
        <v>0</v>
      </c>
      <c r="K108" s="201"/>
      <c r="L108" s="200">
        <v>0</v>
      </c>
      <c r="M108" s="200">
        <v>0</v>
      </c>
      <c r="N108" s="200">
        <v>0</v>
      </c>
      <c r="O108" s="396"/>
    </row>
    <row r="109" spans="1:15" ht="15" x14ac:dyDescent="0.25">
      <c r="A109" s="350"/>
      <c r="B109" s="461" t="s">
        <v>435</v>
      </c>
      <c r="C109" s="348"/>
      <c r="D109" s="348"/>
      <c r="E109" s="348"/>
      <c r="F109" s="348"/>
      <c r="G109" s="348"/>
      <c r="H109" s="348"/>
      <c r="I109" s="348"/>
      <c r="J109" s="201">
        <v>-731109</v>
      </c>
      <c r="K109" s="201"/>
      <c r="L109" s="200">
        <v>0</v>
      </c>
      <c r="M109" s="200"/>
      <c r="N109" s="200">
        <v>-731109</v>
      </c>
      <c r="O109" s="396"/>
    </row>
    <row r="110" spans="1:15" ht="15" x14ac:dyDescent="0.25">
      <c r="A110" s="350"/>
      <c r="B110" s="462" t="s">
        <v>209</v>
      </c>
      <c r="C110" s="463"/>
      <c r="D110" s="463"/>
      <c r="E110" s="463"/>
      <c r="F110" s="463"/>
      <c r="G110" s="463"/>
      <c r="H110" s="463"/>
      <c r="I110" s="464"/>
      <c r="J110" s="202">
        <f>SUM(J105:J109)</f>
        <v>-720403.71715669998</v>
      </c>
      <c r="K110" s="465">
        <f>SUM(K105:K109)</f>
        <v>72729.042290074998</v>
      </c>
      <c r="L110" s="465">
        <f>SUM(L105:L109)</f>
        <v>0</v>
      </c>
      <c r="M110" s="465">
        <f>SUM(M105:M109)</f>
        <v>0</v>
      </c>
      <c r="N110" s="465">
        <f>SUM(N105:N109)</f>
        <v>-647674.67486662499</v>
      </c>
      <c r="O110" s="396"/>
    </row>
    <row r="111" spans="1:15" ht="15" x14ac:dyDescent="0.25">
      <c r="A111" s="350"/>
      <c r="B111" s="350"/>
      <c r="C111" s="350"/>
      <c r="D111" s="350"/>
      <c r="E111" s="350"/>
      <c r="F111" s="350"/>
      <c r="G111" s="350"/>
      <c r="H111" s="350"/>
      <c r="I111" s="350"/>
      <c r="J111" s="160"/>
      <c r="K111" s="350"/>
      <c r="L111" s="354"/>
      <c r="M111" s="350"/>
      <c r="N111" s="350"/>
      <c r="O111" s="396"/>
    </row>
    <row r="112" spans="1:15" s="320" customFormat="1" ht="15" x14ac:dyDescent="0.25">
      <c r="A112" s="350"/>
      <c r="B112" s="466"/>
      <c r="C112" s="350"/>
      <c r="D112" s="350"/>
      <c r="E112" s="350"/>
      <c r="F112" s="350"/>
      <c r="G112" s="350"/>
      <c r="H112" s="350"/>
      <c r="I112" s="350"/>
      <c r="J112" s="203"/>
      <c r="K112" s="467"/>
      <c r="L112" s="468"/>
      <c r="M112" s="469"/>
      <c r="N112" s="469"/>
      <c r="O112" s="470"/>
    </row>
    <row r="113" spans="1:15" s="320" customFormat="1" ht="15" x14ac:dyDescent="0.25">
      <c r="A113" s="355" t="s">
        <v>464</v>
      </c>
      <c r="B113" s="436" t="s">
        <v>260</v>
      </c>
      <c r="C113" s="350"/>
      <c r="D113" s="350"/>
      <c r="E113" s="350"/>
      <c r="F113" s="350"/>
      <c r="G113" s="350"/>
      <c r="H113" s="350"/>
      <c r="I113" s="350"/>
      <c r="J113" s="160"/>
      <c r="K113" s="350"/>
      <c r="L113" s="354"/>
      <c r="M113" s="350"/>
      <c r="N113" s="350"/>
      <c r="O113" s="470"/>
    </row>
    <row r="114" spans="1:15" s="320" customFormat="1" ht="30" x14ac:dyDescent="0.25">
      <c r="A114" s="350"/>
      <c r="B114" s="776" t="s">
        <v>0</v>
      </c>
      <c r="C114" s="792"/>
      <c r="D114" s="792"/>
      <c r="E114" s="792"/>
      <c r="F114" s="792"/>
      <c r="G114" s="792"/>
      <c r="H114" s="792"/>
      <c r="I114" s="792"/>
      <c r="J114" s="792"/>
      <c r="K114" s="793"/>
      <c r="L114" s="397" t="str">
        <f>L5</f>
        <v>As at March 31 2025</v>
      </c>
      <c r="M114" s="398" t="s">
        <v>706</v>
      </c>
      <c r="N114" s="350"/>
      <c r="O114" s="470"/>
    </row>
    <row r="115" spans="1:15" ht="15" x14ac:dyDescent="0.25">
      <c r="A115" s="350"/>
      <c r="B115" s="402" t="s">
        <v>1056</v>
      </c>
      <c r="C115" s="350"/>
      <c r="D115" s="350"/>
      <c r="E115" s="350"/>
      <c r="F115" s="350"/>
      <c r="G115" s="350"/>
      <c r="H115" s="350"/>
      <c r="I115" s="350"/>
      <c r="J115" s="157"/>
      <c r="K115" s="403"/>
      <c r="L115" s="154">
        <f>trial!B136</f>
        <v>2904000</v>
      </c>
      <c r="M115" s="162">
        <v>360000</v>
      </c>
      <c r="N115" s="350"/>
      <c r="O115" s="396"/>
    </row>
    <row r="116" spans="1:15" ht="15" x14ac:dyDescent="0.25">
      <c r="A116" s="350"/>
      <c r="B116" s="402" t="s">
        <v>702</v>
      </c>
      <c r="C116" s="350"/>
      <c r="D116" s="350"/>
      <c r="E116" s="350"/>
      <c r="F116" s="350"/>
      <c r="G116" s="350"/>
      <c r="H116" s="350"/>
      <c r="I116" s="350"/>
      <c r="J116" s="157"/>
      <c r="K116" s="403"/>
      <c r="L116" s="154">
        <f>trial!B197</f>
        <v>144445</v>
      </c>
      <c r="M116" s="162">
        <v>142500</v>
      </c>
      <c r="N116" s="350"/>
      <c r="O116" s="396"/>
    </row>
    <row r="117" spans="1:15" ht="15" x14ac:dyDescent="0.25">
      <c r="A117" s="350"/>
      <c r="B117" s="402" t="s">
        <v>828</v>
      </c>
      <c r="C117" s="350"/>
      <c r="D117" s="350"/>
      <c r="E117" s="350"/>
      <c r="F117" s="350"/>
      <c r="G117" s="350"/>
      <c r="H117" s="350"/>
      <c r="I117" s="350"/>
      <c r="J117" s="157"/>
      <c r="K117" s="403"/>
      <c r="L117" s="154">
        <f>trial!B153</f>
        <v>22450</v>
      </c>
      <c r="M117" s="162">
        <v>0</v>
      </c>
      <c r="N117" s="350"/>
      <c r="O117" s="396"/>
    </row>
    <row r="118" spans="1:15" ht="15" x14ac:dyDescent="0.25">
      <c r="A118" s="350"/>
      <c r="B118" s="471" t="str">
        <f>trial!A127</f>
        <v>Nivabupa Receivable</v>
      </c>
      <c r="C118" s="350"/>
      <c r="D118" s="350"/>
      <c r="E118" s="350"/>
      <c r="F118" s="350"/>
      <c r="G118" s="350"/>
      <c r="H118" s="350"/>
      <c r="I118" s="350"/>
      <c r="J118" s="157"/>
      <c r="K118" s="403"/>
      <c r="L118" s="154">
        <f>trial!B127</f>
        <v>158766</v>
      </c>
      <c r="M118" s="162">
        <v>0</v>
      </c>
      <c r="N118" s="350"/>
      <c r="O118" s="396"/>
    </row>
    <row r="119" spans="1:15" ht="15" x14ac:dyDescent="0.25">
      <c r="A119" s="350"/>
      <c r="B119" s="471" t="s">
        <v>939</v>
      </c>
      <c r="C119" s="350"/>
      <c r="D119" s="350"/>
      <c r="E119" s="350"/>
      <c r="F119" s="350"/>
      <c r="G119" s="350"/>
      <c r="H119" s="350"/>
      <c r="I119" s="350"/>
      <c r="J119" s="157"/>
      <c r="K119" s="403"/>
      <c r="L119" s="154">
        <f>418880+500000+1712614.4+1260000</f>
        <v>3891494.4</v>
      </c>
      <c r="M119" s="162">
        <v>0</v>
      </c>
      <c r="N119" s="350"/>
      <c r="O119" s="396"/>
    </row>
    <row r="120" spans="1:15" ht="15" x14ac:dyDescent="0.25">
      <c r="A120" s="350"/>
      <c r="B120" s="402" t="s">
        <v>831</v>
      </c>
      <c r="C120" s="350"/>
      <c r="D120" s="350"/>
      <c r="E120" s="350"/>
      <c r="F120" s="350"/>
      <c r="G120" s="350"/>
      <c r="H120" s="350"/>
      <c r="I120" s="350"/>
      <c r="J120" s="157"/>
      <c r="K120" s="403"/>
      <c r="L120" s="154">
        <f>trial!B137</f>
        <v>120373</v>
      </c>
      <c r="M120" s="162">
        <v>0</v>
      </c>
      <c r="N120" s="350"/>
      <c r="O120" s="396"/>
    </row>
    <row r="121" spans="1:15" ht="15" x14ac:dyDescent="0.25">
      <c r="A121" s="350"/>
      <c r="B121" s="404" t="s">
        <v>168</v>
      </c>
      <c r="C121" s="405"/>
      <c r="D121" s="405"/>
      <c r="E121" s="405"/>
      <c r="F121" s="405"/>
      <c r="G121" s="405"/>
      <c r="H121" s="405"/>
      <c r="I121" s="405"/>
      <c r="J121" s="173"/>
      <c r="K121" s="433"/>
      <c r="L121" s="174">
        <f>SUM(L115:L120)</f>
        <v>7241528.4000000004</v>
      </c>
      <c r="M121" s="174">
        <v>502500</v>
      </c>
      <c r="N121" s="350"/>
      <c r="O121" s="472"/>
    </row>
    <row r="122" spans="1:15" ht="15" x14ac:dyDescent="0.25">
      <c r="A122" s="350"/>
      <c r="B122" s="355"/>
      <c r="C122" s="355"/>
      <c r="D122" s="355"/>
      <c r="E122" s="355"/>
      <c r="F122" s="355"/>
      <c r="G122" s="355"/>
      <c r="H122" s="355"/>
      <c r="I122" s="355"/>
      <c r="J122" s="151"/>
      <c r="K122" s="355"/>
      <c r="L122" s="151"/>
      <c r="M122" s="151"/>
      <c r="N122" s="151"/>
      <c r="O122" s="396"/>
    </row>
    <row r="123" spans="1:15" ht="15" x14ac:dyDescent="0.25">
      <c r="A123" s="355" t="s">
        <v>1010</v>
      </c>
      <c r="B123" s="355" t="s">
        <v>1011</v>
      </c>
      <c r="C123" s="355"/>
      <c r="D123" s="355"/>
      <c r="E123" s="355"/>
      <c r="F123" s="355"/>
      <c r="G123" s="355"/>
      <c r="H123" s="355"/>
      <c r="I123" s="355"/>
      <c r="J123" s="151"/>
      <c r="K123" s="355"/>
      <c r="L123" s="151"/>
      <c r="M123" s="151"/>
      <c r="N123" s="151"/>
      <c r="O123" s="396"/>
    </row>
    <row r="124" spans="1:15" ht="30" x14ac:dyDescent="0.25">
      <c r="A124" s="350"/>
      <c r="B124" s="795" t="s">
        <v>0</v>
      </c>
      <c r="C124" s="796"/>
      <c r="D124" s="796"/>
      <c r="E124" s="796"/>
      <c r="F124" s="796"/>
      <c r="G124" s="796"/>
      <c r="H124" s="796"/>
      <c r="I124" s="796"/>
      <c r="J124" s="796"/>
      <c r="K124" s="797"/>
      <c r="L124" s="473" t="s">
        <v>882</v>
      </c>
      <c r="M124" s="152" t="s">
        <v>706</v>
      </c>
      <c r="N124" s="151"/>
      <c r="O124" s="396"/>
    </row>
    <row r="125" spans="1:15" ht="15" x14ac:dyDescent="0.25">
      <c r="A125" s="350"/>
      <c r="B125" s="474" t="s">
        <v>342</v>
      </c>
      <c r="C125" s="440"/>
      <c r="D125" s="440"/>
      <c r="E125" s="440"/>
      <c r="F125" s="440"/>
      <c r="G125" s="440"/>
      <c r="H125" s="440"/>
      <c r="I125" s="440"/>
      <c r="J125" s="185"/>
      <c r="K125" s="441"/>
      <c r="L125" s="154"/>
      <c r="M125" s="158"/>
      <c r="N125" s="151"/>
      <c r="O125" s="396"/>
    </row>
    <row r="126" spans="1:15" ht="15" x14ac:dyDescent="0.25">
      <c r="A126" s="350"/>
      <c r="B126" s="402" t="s">
        <v>1012</v>
      </c>
      <c r="C126" s="402"/>
      <c r="D126" s="350"/>
      <c r="E126" s="350"/>
      <c r="F126" s="350"/>
      <c r="G126" s="350"/>
      <c r="H126" s="350"/>
      <c r="I126" s="350"/>
      <c r="J126" s="157"/>
      <c r="K126" s="403"/>
      <c r="L126" s="154">
        <v>213553000</v>
      </c>
      <c r="M126" s="154">
        <v>1850000</v>
      </c>
      <c r="N126" s="151"/>
      <c r="O126" s="396"/>
    </row>
    <row r="127" spans="1:15" ht="15" x14ac:dyDescent="0.25">
      <c r="A127" s="350"/>
      <c r="B127" s="475" t="s">
        <v>1013</v>
      </c>
      <c r="C127" s="350"/>
      <c r="D127" s="350"/>
      <c r="E127" s="350"/>
      <c r="F127" s="350"/>
      <c r="G127" s="350"/>
      <c r="H127" s="350"/>
      <c r="I127" s="350"/>
      <c r="J127" s="157"/>
      <c r="K127" s="403"/>
      <c r="L127" s="155">
        <f>SUM(L126)</f>
        <v>213553000</v>
      </c>
      <c r="M127" s="155">
        <f>SUM(M126)</f>
        <v>1850000</v>
      </c>
      <c r="N127" s="151"/>
      <c r="O127" s="396"/>
    </row>
    <row r="128" spans="1:15" ht="15" x14ac:dyDescent="0.25">
      <c r="A128" s="350"/>
      <c r="B128" s="476"/>
      <c r="C128" s="350"/>
      <c r="D128" s="350"/>
      <c r="E128" s="350"/>
      <c r="F128" s="350"/>
      <c r="G128" s="350"/>
      <c r="H128" s="350"/>
      <c r="I128" s="350"/>
      <c r="J128" s="157"/>
      <c r="K128" s="403"/>
      <c r="L128" s="154"/>
      <c r="M128" s="154"/>
      <c r="N128" s="151"/>
      <c r="O128" s="396"/>
    </row>
    <row r="129" spans="1:15" ht="15" x14ac:dyDescent="0.25">
      <c r="A129" s="350"/>
      <c r="B129" s="402" t="s">
        <v>1014</v>
      </c>
      <c r="C129" s="350"/>
      <c r="D129" s="350"/>
      <c r="E129" s="350"/>
      <c r="F129" s="350"/>
      <c r="G129" s="350"/>
      <c r="H129" s="350"/>
      <c r="I129" s="350"/>
      <c r="J129" s="350"/>
      <c r="K129" s="350"/>
      <c r="L129" s="154">
        <f>+L126</f>
        <v>213553000</v>
      </c>
      <c r="M129" s="154">
        <f>+M127</f>
        <v>1850000</v>
      </c>
      <c r="N129" s="151"/>
      <c r="O129" s="396"/>
    </row>
    <row r="130" spans="1:15" ht="15" x14ac:dyDescent="0.25">
      <c r="A130" s="350"/>
      <c r="B130" s="402" t="s">
        <v>1015</v>
      </c>
      <c r="C130" s="402"/>
      <c r="D130" s="350"/>
      <c r="E130" s="350"/>
      <c r="F130" s="350"/>
      <c r="G130" s="350"/>
      <c r="H130" s="350"/>
      <c r="I130" s="350"/>
      <c r="J130" s="350"/>
      <c r="K130" s="350"/>
      <c r="L130" s="154"/>
      <c r="M130" s="154"/>
      <c r="N130" s="151"/>
      <c r="O130" s="396"/>
    </row>
    <row r="131" spans="1:15" ht="15" x14ac:dyDescent="0.25">
      <c r="A131" s="350"/>
      <c r="B131" s="475" t="s">
        <v>1016</v>
      </c>
      <c r="C131" s="350"/>
      <c r="D131" s="350"/>
      <c r="E131" s="350"/>
      <c r="F131" s="350"/>
      <c r="G131" s="350"/>
      <c r="H131" s="350"/>
      <c r="I131" s="350"/>
      <c r="J131" s="157"/>
      <c r="K131" s="403"/>
      <c r="L131" s="155">
        <f>+L129+L130</f>
        <v>213553000</v>
      </c>
      <c r="M131" s="155">
        <f>+M129</f>
        <v>1850000</v>
      </c>
      <c r="N131" s="151"/>
      <c r="O131" s="396"/>
    </row>
    <row r="132" spans="1:15" ht="15" x14ac:dyDescent="0.25">
      <c r="A132" s="350"/>
      <c r="B132" s="476"/>
      <c r="C132" s="350"/>
      <c r="D132" s="350"/>
      <c r="E132" s="350"/>
      <c r="F132" s="350"/>
      <c r="G132" s="350"/>
      <c r="H132" s="350"/>
      <c r="I132" s="350"/>
      <c r="J132" s="157"/>
      <c r="K132" s="403"/>
      <c r="L132" s="154"/>
      <c r="M132" s="154"/>
      <c r="N132" s="151"/>
      <c r="O132" s="396"/>
    </row>
    <row r="133" spans="1:15" ht="15" x14ac:dyDescent="0.25">
      <c r="A133" s="350"/>
      <c r="B133" s="402"/>
      <c r="C133" s="350"/>
      <c r="D133" s="350"/>
      <c r="E133" s="350"/>
      <c r="F133" s="350"/>
      <c r="G133" s="350"/>
      <c r="H133" s="350"/>
      <c r="I133" s="350"/>
      <c r="J133" s="157"/>
      <c r="K133" s="350"/>
      <c r="L133" s="154"/>
      <c r="M133" s="154"/>
      <c r="N133" s="151"/>
      <c r="O133" s="396"/>
    </row>
    <row r="134" spans="1:15" ht="15" x14ac:dyDescent="0.25">
      <c r="A134" s="350"/>
      <c r="B134" s="798" t="s">
        <v>203</v>
      </c>
      <c r="C134" s="799"/>
      <c r="D134" s="799"/>
      <c r="E134" s="799"/>
      <c r="F134" s="799"/>
      <c r="G134" s="799"/>
      <c r="H134" s="799"/>
      <c r="I134" s="799"/>
      <c r="J134" s="799"/>
      <c r="K134" s="800"/>
      <c r="L134" s="156">
        <f>+L131</f>
        <v>213553000</v>
      </c>
      <c r="M134" s="156">
        <f>+M131</f>
        <v>1850000</v>
      </c>
      <c r="N134" s="151"/>
      <c r="O134" s="396"/>
    </row>
    <row r="135" spans="1:15" ht="15" x14ac:dyDescent="0.25">
      <c r="A135" s="350"/>
      <c r="B135" s="355"/>
      <c r="C135" s="355"/>
      <c r="D135" s="355"/>
      <c r="E135" s="355"/>
      <c r="F135" s="355"/>
      <c r="G135" s="355"/>
      <c r="H135" s="355"/>
      <c r="I135" s="355"/>
      <c r="J135" s="151"/>
      <c r="K135" s="355"/>
      <c r="L135" s="151"/>
      <c r="M135" s="151"/>
      <c r="N135" s="151"/>
      <c r="O135" s="396"/>
    </row>
    <row r="136" spans="1:15" ht="15" x14ac:dyDescent="0.25">
      <c r="A136" s="355" t="s">
        <v>1017</v>
      </c>
      <c r="B136" s="355" t="s">
        <v>1018</v>
      </c>
      <c r="C136" s="355"/>
      <c r="D136" s="355"/>
      <c r="E136" s="355"/>
      <c r="F136" s="355"/>
      <c r="G136" s="355"/>
      <c r="H136" s="355"/>
      <c r="I136" s="355"/>
      <c r="J136" s="151"/>
      <c r="K136" s="355"/>
      <c r="L136" s="151"/>
      <c r="M136" s="151"/>
      <c r="N136" s="151"/>
      <c r="O136" s="396"/>
    </row>
    <row r="137" spans="1:15" ht="15" x14ac:dyDescent="0.25">
      <c r="A137" s="355"/>
      <c r="B137" s="355"/>
      <c r="C137" s="355"/>
      <c r="D137" s="355"/>
      <c r="E137" s="355"/>
      <c r="F137" s="355"/>
      <c r="G137" s="355"/>
      <c r="H137" s="355"/>
      <c r="I137" s="355"/>
      <c r="J137" s="151"/>
      <c r="K137" s="355"/>
      <c r="L137" s="151"/>
      <c r="M137" s="151"/>
      <c r="N137" s="151"/>
      <c r="O137" s="396"/>
    </row>
    <row r="138" spans="1:15" ht="15" x14ac:dyDescent="0.25">
      <c r="A138" s="355"/>
      <c r="B138" s="355" t="s">
        <v>1019</v>
      </c>
      <c r="C138" s="355"/>
      <c r="D138" s="355"/>
      <c r="E138" s="355"/>
      <c r="F138" s="355"/>
      <c r="G138" s="355"/>
      <c r="H138" s="355"/>
      <c r="I138" s="355"/>
      <c r="J138" s="151"/>
      <c r="K138" s="355"/>
      <c r="L138" s="151"/>
      <c r="M138" s="151"/>
      <c r="N138" s="151"/>
      <c r="O138" s="396"/>
    </row>
    <row r="139" spans="1:15" ht="30" x14ac:dyDescent="0.25">
      <c r="A139" s="350"/>
      <c r="B139" s="795" t="s">
        <v>0</v>
      </c>
      <c r="C139" s="796"/>
      <c r="D139" s="796"/>
      <c r="E139" s="796"/>
      <c r="F139" s="796"/>
      <c r="G139" s="796"/>
      <c r="H139" s="796"/>
      <c r="I139" s="796"/>
      <c r="J139" s="796"/>
      <c r="K139" s="797"/>
      <c r="L139" s="473" t="s">
        <v>882</v>
      </c>
      <c r="M139" s="152" t="s">
        <v>706</v>
      </c>
      <c r="N139" s="151"/>
      <c r="O139" s="396"/>
    </row>
    <row r="140" spans="1:15" ht="15" x14ac:dyDescent="0.25">
      <c r="A140" s="350"/>
      <c r="B140" s="402" t="s">
        <v>1020</v>
      </c>
      <c r="C140" s="350"/>
      <c r="D140" s="350"/>
      <c r="E140" s="350"/>
      <c r="F140" s="350"/>
      <c r="G140" s="350"/>
      <c r="H140" s="350"/>
      <c r="I140" s="350"/>
      <c r="J140" s="157"/>
      <c r="K140" s="350"/>
      <c r="L140" s="154">
        <f>21700000</f>
        <v>21700000</v>
      </c>
      <c r="M140" s="158">
        <v>0</v>
      </c>
      <c r="N140" s="151"/>
      <c r="O140" s="396"/>
    </row>
    <row r="141" spans="1:15" ht="15" x14ac:dyDescent="0.25">
      <c r="A141" s="350"/>
      <c r="B141" s="402" t="s">
        <v>1021</v>
      </c>
      <c r="C141" s="350"/>
      <c r="D141" s="350"/>
      <c r="E141" s="350"/>
      <c r="F141" s="350"/>
      <c r="G141" s="350"/>
      <c r="H141" s="350"/>
      <c r="I141" s="350"/>
      <c r="J141" s="157"/>
      <c r="K141" s="350"/>
      <c r="L141" s="154">
        <f>22870000</f>
        <v>22870000</v>
      </c>
      <c r="M141" s="158">
        <v>0</v>
      </c>
      <c r="N141" s="151"/>
      <c r="O141" s="396"/>
    </row>
    <row r="142" spans="1:15" ht="15" x14ac:dyDescent="0.25">
      <c r="A142" s="350"/>
      <c r="B142" s="402" t="s">
        <v>1022</v>
      </c>
      <c r="C142" s="350"/>
      <c r="D142" s="350"/>
      <c r="E142" s="350"/>
      <c r="F142" s="350"/>
      <c r="G142" s="350"/>
      <c r="H142" s="350"/>
      <c r="I142" s="350"/>
      <c r="J142" s="157"/>
      <c r="K142" s="350"/>
      <c r="L142" s="154">
        <v>0</v>
      </c>
      <c r="M142" s="158">
        <v>3300000</v>
      </c>
      <c r="N142" s="151"/>
      <c r="O142" s="396"/>
    </row>
    <row r="143" spans="1:15" ht="15" x14ac:dyDescent="0.25">
      <c r="A143" s="350"/>
      <c r="B143" s="798" t="s">
        <v>203</v>
      </c>
      <c r="C143" s="799"/>
      <c r="D143" s="799"/>
      <c r="E143" s="799"/>
      <c r="F143" s="799"/>
      <c r="G143" s="799"/>
      <c r="H143" s="799"/>
      <c r="I143" s="799"/>
      <c r="J143" s="799"/>
      <c r="K143" s="800"/>
      <c r="L143" s="156">
        <f>+SUM(L140:L142)</f>
        <v>44570000</v>
      </c>
      <c r="M143" s="156">
        <f>+SUM(M140:M142)</f>
        <v>3300000</v>
      </c>
      <c r="N143" s="151"/>
      <c r="O143" s="396"/>
    </row>
    <row r="144" spans="1:15" ht="15" x14ac:dyDescent="0.25">
      <c r="A144" s="350"/>
      <c r="B144" s="355"/>
      <c r="C144" s="355"/>
      <c r="D144" s="355"/>
      <c r="E144" s="355"/>
      <c r="F144" s="355"/>
      <c r="G144" s="355"/>
      <c r="H144" s="355"/>
      <c r="I144" s="355"/>
      <c r="J144" s="151"/>
      <c r="K144" s="355"/>
      <c r="L144" s="151"/>
      <c r="M144" s="151"/>
      <c r="N144" s="151"/>
      <c r="O144" s="396"/>
    </row>
    <row r="145" spans="1:15" ht="15" x14ac:dyDescent="0.25">
      <c r="A145" s="350"/>
      <c r="B145" s="355" t="s">
        <v>1023</v>
      </c>
      <c r="C145" s="355"/>
      <c r="D145" s="355"/>
      <c r="E145" s="355"/>
      <c r="F145" s="355"/>
      <c r="G145" s="355"/>
      <c r="H145" s="355"/>
      <c r="I145" s="355"/>
      <c r="J145" s="151"/>
      <c r="K145" s="355"/>
      <c r="L145" s="151"/>
      <c r="M145" s="151"/>
      <c r="N145" s="151"/>
      <c r="O145" s="396"/>
    </row>
    <row r="146" spans="1:15" ht="30" x14ac:dyDescent="0.25">
      <c r="A146" s="350"/>
      <c r="B146" s="795" t="s">
        <v>0</v>
      </c>
      <c r="C146" s="796"/>
      <c r="D146" s="796"/>
      <c r="E146" s="796"/>
      <c r="F146" s="796"/>
      <c r="G146" s="796"/>
      <c r="H146" s="796"/>
      <c r="I146" s="796"/>
      <c r="J146" s="796"/>
      <c r="K146" s="797"/>
      <c r="L146" s="473" t="s">
        <v>882</v>
      </c>
      <c r="M146" s="152" t="s">
        <v>706</v>
      </c>
      <c r="N146" s="151"/>
      <c r="O146" s="396"/>
    </row>
    <row r="147" spans="1:15" ht="15" x14ac:dyDescent="0.25">
      <c r="A147" s="350"/>
      <c r="B147" s="439" t="s">
        <v>1024</v>
      </c>
      <c r="C147" s="440"/>
      <c r="D147" s="440"/>
      <c r="E147" s="440"/>
      <c r="F147" s="440"/>
      <c r="G147" s="440"/>
      <c r="H147" s="440"/>
      <c r="I147" s="440"/>
      <c r="J147" s="440"/>
      <c r="K147" s="441"/>
      <c r="L147" s="477">
        <v>4900000</v>
      </c>
      <c r="M147" s="478">
        <v>0</v>
      </c>
      <c r="N147" s="151"/>
      <c r="O147" s="396"/>
    </row>
    <row r="148" spans="1:15" ht="15" x14ac:dyDescent="0.25">
      <c r="A148" s="350"/>
      <c r="B148" s="402" t="s">
        <v>1025</v>
      </c>
      <c r="C148" s="350"/>
      <c r="D148" s="350"/>
      <c r="E148" s="350"/>
      <c r="F148" s="350"/>
      <c r="G148" s="350"/>
      <c r="H148" s="350"/>
      <c r="I148" s="350"/>
      <c r="J148" s="350"/>
      <c r="K148" s="403"/>
      <c r="L148" s="479">
        <v>2800000</v>
      </c>
      <c r="M148" s="480">
        <v>0</v>
      </c>
      <c r="N148" s="151"/>
      <c r="O148" s="396"/>
    </row>
    <row r="149" spans="1:15" ht="15" x14ac:dyDescent="0.25">
      <c r="A149" s="350"/>
      <c r="B149" s="402" t="s">
        <v>1026</v>
      </c>
      <c r="C149" s="350"/>
      <c r="D149" s="350"/>
      <c r="E149" s="350"/>
      <c r="F149" s="350"/>
      <c r="G149" s="350"/>
      <c r="H149" s="350"/>
      <c r="I149" s="350"/>
      <c r="J149" s="350"/>
      <c r="K149" s="403"/>
      <c r="L149" s="479">
        <v>1800000</v>
      </c>
      <c r="M149" s="480">
        <v>0</v>
      </c>
      <c r="N149" s="151"/>
      <c r="O149" s="396"/>
    </row>
    <row r="150" spans="1:15" ht="15" x14ac:dyDescent="0.25">
      <c r="A150" s="350"/>
      <c r="B150" s="402" t="s">
        <v>1027</v>
      </c>
      <c r="C150" s="350"/>
      <c r="D150" s="350"/>
      <c r="E150" s="350"/>
      <c r="F150" s="350"/>
      <c r="G150" s="350"/>
      <c r="H150" s="350"/>
      <c r="I150" s="350"/>
      <c r="J150" s="350"/>
      <c r="K150" s="403"/>
      <c r="L150" s="479">
        <v>17150000</v>
      </c>
      <c r="M150" s="480">
        <v>0</v>
      </c>
      <c r="N150" s="151"/>
      <c r="O150" s="396"/>
    </row>
    <row r="151" spans="1:15" ht="15" x14ac:dyDescent="0.25">
      <c r="A151" s="350"/>
      <c r="B151" s="402" t="s">
        <v>1028</v>
      </c>
      <c r="C151" s="350"/>
      <c r="D151" s="350"/>
      <c r="E151" s="350"/>
      <c r="F151" s="350"/>
      <c r="G151" s="350"/>
      <c r="H151" s="350"/>
      <c r="I151" s="350"/>
      <c r="J151" s="350"/>
      <c r="K151" s="403"/>
      <c r="L151" s="479">
        <v>17920000</v>
      </c>
      <c r="M151" s="480">
        <v>0</v>
      </c>
      <c r="N151" s="151"/>
      <c r="O151" s="396"/>
    </row>
    <row r="152" spans="1:15" ht="15" x14ac:dyDescent="0.25">
      <c r="A152" s="350"/>
      <c r="B152" s="402" t="s">
        <v>1029</v>
      </c>
      <c r="C152" s="350"/>
      <c r="D152" s="350"/>
      <c r="E152" s="350"/>
      <c r="F152" s="350"/>
      <c r="G152" s="350"/>
      <c r="H152" s="350"/>
      <c r="I152" s="350"/>
      <c r="J152" s="350"/>
      <c r="K152" s="403"/>
      <c r="L152" s="479">
        <v>0</v>
      </c>
      <c r="M152" s="480">
        <v>1800000</v>
      </c>
      <c r="N152" s="151"/>
      <c r="O152" s="396"/>
    </row>
    <row r="153" spans="1:15" ht="15" x14ac:dyDescent="0.25">
      <c r="A153" s="350"/>
      <c r="B153" s="402" t="s">
        <v>1030</v>
      </c>
      <c r="C153" s="350"/>
      <c r="D153" s="350"/>
      <c r="E153" s="350"/>
      <c r="F153" s="350"/>
      <c r="G153" s="350"/>
      <c r="H153" s="350"/>
      <c r="I153" s="350"/>
      <c r="J153" s="350"/>
      <c r="K153" s="403"/>
      <c r="L153" s="479">
        <v>0</v>
      </c>
      <c r="M153" s="480">
        <v>1500000</v>
      </c>
      <c r="N153" s="151"/>
      <c r="O153" s="396"/>
    </row>
    <row r="154" spans="1:15" ht="15" x14ac:dyDescent="0.25">
      <c r="A154" s="350"/>
      <c r="B154" s="402"/>
      <c r="C154" s="350"/>
      <c r="D154" s="350"/>
      <c r="E154" s="350"/>
      <c r="F154" s="350"/>
      <c r="G154" s="350"/>
      <c r="H154" s="350"/>
      <c r="I154" s="350"/>
      <c r="J154" s="350"/>
      <c r="K154" s="403"/>
      <c r="L154" s="402"/>
      <c r="M154" s="416"/>
      <c r="N154" s="151"/>
      <c r="O154" s="396"/>
    </row>
    <row r="155" spans="1:15" ht="15" x14ac:dyDescent="0.25">
      <c r="A155" s="350"/>
      <c r="B155" s="798" t="s">
        <v>203</v>
      </c>
      <c r="C155" s="799"/>
      <c r="D155" s="799"/>
      <c r="E155" s="799"/>
      <c r="F155" s="799"/>
      <c r="G155" s="799"/>
      <c r="H155" s="799"/>
      <c r="I155" s="799"/>
      <c r="J155" s="799"/>
      <c r="K155" s="800"/>
      <c r="L155" s="481">
        <f>SUM(L147:L154)</f>
        <v>44570000</v>
      </c>
      <c r="M155" s="482">
        <f>SUM(M147:M154)</f>
        <v>3300000</v>
      </c>
      <c r="N155" s="151"/>
      <c r="O155" s="396"/>
    </row>
    <row r="156" spans="1:15" ht="15" x14ac:dyDescent="0.25">
      <c r="A156" s="350"/>
      <c r="B156" s="355"/>
      <c r="C156" s="355"/>
      <c r="D156" s="355"/>
      <c r="E156" s="355"/>
      <c r="F156" s="355"/>
      <c r="G156" s="355"/>
      <c r="H156" s="355"/>
      <c r="I156" s="355"/>
      <c r="J156" s="151"/>
      <c r="K156" s="355"/>
      <c r="L156" s="151"/>
      <c r="M156" s="151"/>
      <c r="N156" s="151"/>
      <c r="O156" s="396"/>
    </row>
    <row r="157" spans="1:15" ht="15" x14ac:dyDescent="0.25">
      <c r="A157" s="350"/>
      <c r="B157" s="355" t="s">
        <v>1031</v>
      </c>
      <c r="C157" s="355"/>
      <c r="D157" s="355"/>
      <c r="E157" s="355"/>
      <c r="F157" s="355"/>
      <c r="G157" s="355"/>
      <c r="H157" s="355"/>
      <c r="I157" s="355"/>
      <c r="J157" s="151"/>
      <c r="K157" s="355"/>
      <c r="L157" s="151"/>
      <c r="M157" s="151"/>
      <c r="N157" s="151"/>
      <c r="O157" s="396"/>
    </row>
    <row r="158" spans="1:15" ht="30" x14ac:dyDescent="0.25">
      <c r="A158" s="350"/>
      <c r="B158" s="795" t="s">
        <v>0</v>
      </c>
      <c r="C158" s="796"/>
      <c r="D158" s="796"/>
      <c r="E158" s="796"/>
      <c r="F158" s="796"/>
      <c r="G158" s="796"/>
      <c r="H158" s="796"/>
      <c r="I158" s="796"/>
      <c r="J158" s="796"/>
      <c r="K158" s="797"/>
      <c r="L158" s="473" t="s">
        <v>882</v>
      </c>
      <c r="M158" s="152" t="s">
        <v>706</v>
      </c>
      <c r="N158" s="151"/>
      <c r="O158" s="396"/>
    </row>
    <row r="159" spans="1:15" ht="15" x14ac:dyDescent="0.25">
      <c r="A159" s="350"/>
      <c r="B159" s="439" t="s">
        <v>1032</v>
      </c>
      <c r="C159" s="355"/>
      <c r="D159" s="355"/>
      <c r="E159" s="355"/>
      <c r="F159" s="355"/>
      <c r="G159" s="355"/>
      <c r="H159" s="355"/>
      <c r="I159" s="355"/>
      <c r="J159" s="151"/>
      <c r="K159" s="355"/>
      <c r="L159" s="479">
        <v>4900000</v>
      </c>
      <c r="M159" s="478">
        <v>0</v>
      </c>
      <c r="N159" s="151"/>
      <c r="O159" s="396"/>
    </row>
    <row r="160" spans="1:15" ht="15" x14ac:dyDescent="0.25">
      <c r="A160" s="350"/>
      <c r="B160" s="402" t="s">
        <v>1033</v>
      </c>
      <c r="C160" s="355"/>
      <c r="D160" s="355"/>
      <c r="E160" s="355"/>
      <c r="F160" s="355"/>
      <c r="G160" s="355"/>
      <c r="H160" s="355"/>
      <c r="I160" s="355"/>
      <c r="J160" s="151"/>
      <c r="K160" s="355"/>
      <c r="L160" s="479">
        <v>2800000</v>
      </c>
      <c r="M160" s="480">
        <v>0</v>
      </c>
      <c r="N160" s="151"/>
      <c r="O160" s="396"/>
    </row>
    <row r="161" spans="1:15" ht="15" x14ac:dyDescent="0.25">
      <c r="A161" s="350"/>
      <c r="B161" s="402" t="s">
        <v>1034</v>
      </c>
      <c r="C161" s="355"/>
      <c r="D161" s="355"/>
      <c r="E161" s="355"/>
      <c r="F161" s="355"/>
      <c r="G161" s="355"/>
      <c r="H161" s="355"/>
      <c r="I161" s="355"/>
      <c r="J161" s="151"/>
      <c r="K161" s="355"/>
      <c r="L161" s="479">
        <v>7200000</v>
      </c>
      <c r="M161" s="480">
        <v>0</v>
      </c>
      <c r="N161" s="151"/>
      <c r="O161" s="396"/>
    </row>
    <row r="162" spans="1:15" ht="15" x14ac:dyDescent="0.25">
      <c r="A162" s="350"/>
      <c r="B162" s="402" t="s">
        <v>1035</v>
      </c>
      <c r="C162" s="355"/>
      <c r="D162" s="355"/>
      <c r="E162" s="355"/>
      <c r="F162" s="355"/>
      <c r="G162" s="355"/>
      <c r="H162" s="355"/>
      <c r="I162" s="355"/>
      <c r="J162" s="151"/>
      <c r="K162" s="355"/>
      <c r="L162" s="479">
        <v>29620000</v>
      </c>
      <c r="M162" s="480">
        <v>3300000</v>
      </c>
      <c r="N162" s="151"/>
      <c r="O162" s="396"/>
    </row>
    <row r="163" spans="1:15" ht="15" x14ac:dyDescent="0.25">
      <c r="A163" s="350"/>
      <c r="B163" s="414"/>
      <c r="C163" s="355"/>
      <c r="D163" s="355"/>
      <c r="E163" s="355"/>
      <c r="F163" s="355"/>
      <c r="G163" s="355"/>
      <c r="H163" s="355"/>
      <c r="I163" s="355"/>
      <c r="J163" s="151"/>
      <c r="K163" s="355"/>
      <c r="L163" s="479"/>
      <c r="M163" s="483"/>
      <c r="N163" s="151"/>
      <c r="O163" s="396"/>
    </row>
    <row r="164" spans="1:15" ht="15" x14ac:dyDescent="0.25">
      <c r="A164" s="350"/>
      <c r="B164" s="798" t="s">
        <v>203</v>
      </c>
      <c r="C164" s="799"/>
      <c r="D164" s="799"/>
      <c r="E164" s="799"/>
      <c r="F164" s="799"/>
      <c r="G164" s="799"/>
      <c r="H164" s="799"/>
      <c r="I164" s="799"/>
      <c r="J164" s="799"/>
      <c r="K164" s="800"/>
      <c r="L164" s="159">
        <f>SUM(L159:L163)</f>
        <v>44520000</v>
      </c>
      <c r="M164" s="159">
        <f>SUM(M159:M163)</f>
        <v>3300000</v>
      </c>
      <c r="N164" s="151"/>
      <c r="O164" s="396"/>
    </row>
    <row r="165" spans="1:15" ht="15" x14ac:dyDescent="0.25">
      <c r="A165" s="350"/>
      <c r="B165" s="355"/>
      <c r="C165" s="355"/>
      <c r="D165" s="355"/>
      <c r="E165" s="355"/>
      <c r="F165" s="355"/>
      <c r="G165" s="355"/>
      <c r="H165" s="355"/>
      <c r="I165" s="355"/>
      <c r="J165" s="151"/>
      <c r="K165" s="355"/>
      <c r="L165" s="151"/>
      <c r="M165" s="151"/>
      <c r="N165" s="151"/>
      <c r="O165" s="396"/>
    </row>
    <row r="166" spans="1:15" ht="15" x14ac:dyDescent="0.25">
      <c r="A166" s="350"/>
      <c r="B166" s="355"/>
      <c r="C166" s="355"/>
      <c r="D166" s="355"/>
      <c r="E166" s="355"/>
      <c r="F166" s="355"/>
      <c r="G166" s="355"/>
      <c r="H166" s="355"/>
      <c r="I166" s="355"/>
      <c r="J166" s="151"/>
      <c r="K166" s="355"/>
      <c r="L166" s="151"/>
      <c r="M166" s="151"/>
      <c r="N166" s="151"/>
      <c r="O166" s="396"/>
    </row>
    <row r="167" spans="1:15" ht="15" x14ac:dyDescent="0.25">
      <c r="A167" s="355" t="s">
        <v>465</v>
      </c>
      <c r="B167" s="436" t="s">
        <v>1036</v>
      </c>
      <c r="C167" s="350"/>
      <c r="D167" s="350"/>
      <c r="E167" s="350"/>
      <c r="F167" s="350"/>
      <c r="G167" s="350"/>
      <c r="H167" s="350"/>
      <c r="I167" s="350"/>
      <c r="J167" s="160"/>
      <c r="K167" s="350"/>
      <c r="L167" s="354"/>
      <c r="M167" s="350"/>
      <c r="N167" s="350"/>
      <c r="O167" s="396"/>
    </row>
    <row r="168" spans="1:15" ht="30" x14ac:dyDescent="0.25">
      <c r="A168" s="350"/>
      <c r="B168" s="795" t="s">
        <v>0</v>
      </c>
      <c r="C168" s="796"/>
      <c r="D168" s="796"/>
      <c r="E168" s="796"/>
      <c r="F168" s="796"/>
      <c r="G168" s="796"/>
      <c r="H168" s="796"/>
      <c r="I168" s="796"/>
      <c r="J168" s="796"/>
      <c r="K168" s="797"/>
      <c r="L168" s="473" t="str">
        <f>L5</f>
        <v>As at March 31 2025</v>
      </c>
      <c r="M168" s="484" t="s">
        <v>706</v>
      </c>
      <c r="N168" s="350"/>
      <c r="O168" s="396"/>
    </row>
    <row r="169" spans="1:15" ht="15" x14ac:dyDescent="0.25">
      <c r="A169" s="350"/>
      <c r="B169" s="485" t="s">
        <v>535</v>
      </c>
      <c r="C169" s="486"/>
      <c r="D169" s="486"/>
      <c r="E169" s="486"/>
      <c r="F169" s="486"/>
      <c r="G169" s="486"/>
      <c r="H169" s="486"/>
      <c r="I169" s="486"/>
      <c r="J169" s="486"/>
      <c r="K169" s="487"/>
      <c r="L169" s="488">
        <f>+trial!C176</f>
        <v>27470</v>
      </c>
      <c r="M169" s="489">
        <v>6900000</v>
      </c>
      <c r="N169" s="350"/>
      <c r="O169" s="396"/>
    </row>
    <row r="170" spans="1:15" ht="15" x14ac:dyDescent="0.25">
      <c r="A170" s="350"/>
      <c r="B170" s="402"/>
      <c r="C170" s="350"/>
      <c r="D170" s="350"/>
      <c r="E170" s="350"/>
      <c r="F170" s="350"/>
      <c r="G170" s="350"/>
      <c r="H170" s="350"/>
      <c r="I170" s="350"/>
      <c r="J170" s="157"/>
      <c r="K170" s="403"/>
      <c r="L170" s="161"/>
      <c r="M170" s="162"/>
      <c r="N170" s="350"/>
      <c r="O170" s="396"/>
    </row>
    <row r="171" spans="1:15" ht="15" x14ac:dyDescent="0.25">
      <c r="A171" s="350"/>
      <c r="B171" s="490" t="s">
        <v>168</v>
      </c>
      <c r="C171" s="491"/>
      <c r="D171" s="491"/>
      <c r="E171" s="491"/>
      <c r="F171" s="491"/>
      <c r="G171" s="491"/>
      <c r="H171" s="491"/>
      <c r="I171" s="491"/>
      <c r="J171" s="163"/>
      <c r="K171" s="492"/>
      <c r="L171" s="164">
        <f>SUM(L169:L170)</f>
        <v>27470</v>
      </c>
      <c r="M171" s="165">
        <f>SUM(M169:M170)</f>
        <v>6900000</v>
      </c>
      <c r="N171" s="350"/>
      <c r="O171" s="396"/>
    </row>
    <row r="172" spans="1:15" ht="15" x14ac:dyDescent="0.25">
      <c r="A172" s="350"/>
      <c r="B172" s="350"/>
      <c r="C172" s="350"/>
      <c r="D172" s="350"/>
      <c r="E172" s="350"/>
      <c r="F172" s="350"/>
      <c r="G172" s="350"/>
      <c r="H172" s="350"/>
      <c r="I172" s="350"/>
      <c r="J172" s="160"/>
      <c r="K172" s="350"/>
      <c r="L172" s="354"/>
      <c r="M172" s="350"/>
      <c r="N172" s="350"/>
      <c r="O172" s="396"/>
    </row>
    <row r="173" spans="1:15" ht="15" x14ac:dyDescent="0.25">
      <c r="A173" s="355" t="s">
        <v>1037</v>
      </c>
      <c r="B173" s="355" t="s">
        <v>16</v>
      </c>
      <c r="C173" s="350"/>
      <c r="D173" s="350"/>
      <c r="E173" s="350"/>
      <c r="F173" s="350"/>
      <c r="G173" s="350"/>
      <c r="H173" s="350"/>
      <c r="I173" s="350"/>
      <c r="J173" s="160"/>
      <c r="K173" s="350"/>
      <c r="L173" s="354"/>
      <c r="M173" s="350"/>
      <c r="N173" s="350"/>
      <c r="O173" s="396"/>
    </row>
    <row r="174" spans="1:15" ht="30" x14ac:dyDescent="0.25">
      <c r="A174" s="350"/>
      <c r="B174" s="776" t="s">
        <v>0</v>
      </c>
      <c r="C174" s="792"/>
      <c r="D174" s="792"/>
      <c r="E174" s="792"/>
      <c r="F174" s="792"/>
      <c r="G174" s="792"/>
      <c r="H174" s="792"/>
      <c r="I174" s="792"/>
      <c r="J174" s="792"/>
      <c r="K174" s="793"/>
      <c r="L174" s="397" t="str">
        <f>L5</f>
        <v>As at March 31 2025</v>
      </c>
      <c r="M174" s="398" t="s">
        <v>706</v>
      </c>
      <c r="N174" s="350"/>
      <c r="O174" s="396"/>
    </row>
    <row r="175" spans="1:15" ht="15" x14ac:dyDescent="0.25">
      <c r="A175" s="350"/>
      <c r="B175" s="439" t="s">
        <v>949</v>
      </c>
      <c r="C175" s="440"/>
      <c r="D175" s="440"/>
      <c r="E175" s="440"/>
      <c r="F175" s="440"/>
      <c r="G175" s="440"/>
      <c r="H175" s="440"/>
      <c r="I175" s="440"/>
      <c r="J175" s="185"/>
      <c r="K175" s="441"/>
      <c r="L175" s="189">
        <f>'provision '!G8</f>
        <v>703002.78300000017</v>
      </c>
      <c r="M175" s="189">
        <v>220578</v>
      </c>
      <c r="N175" s="350"/>
      <c r="O175" s="396"/>
    </row>
    <row r="176" spans="1:15" ht="15" x14ac:dyDescent="0.25">
      <c r="A176" s="350"/>
      <c r="B176" s="408" t="s">
        <v>950</v>
      </c>
      <c r="C176" s="409"/>
      <c r="D176" s="409"/>
      <c r="E176" s="409"/>
      <c r="F176" s="409"/>
      <c r="G176" s="409"/>
      <c r="H176" s="409"/>
      <c r="I176" s="409"/>
      <c r="J176" s="175"/>
      <c r="K176" s="419"/>
      <c r="L176" s="192">
        <f>+'provision '!G9</f>
        <v>232885.5</v>
      </c>
      <c r="M176" s="192">
        <v>0</v>
      </c>
      <c r="N176" s="350"/>
      <c r="O176" s="396"/>
    </row>
    <row r="177" spans="1:15" ht="15" x14ac:dyDescent="0.25">
      <c r="A177" s="350"/>
      <c r="B177" s="404" t="s">
        <v>168</v>
      </c>
      <c r="C177" s="405"/>
      <c r="D177" s="405"/>
      <c r="E177" s="405"/>
      <c r="F177" s="405"/>
      <c r="G177" s="405"/>
      <c r="H177" s="405"/>
      <c r="I177" s="405"/>
      <c r="J177" s="173"/>
      <c r="K177" s="433"/>
      <c r="L177" s="174">
        <f>SUM(L175:L176)</f>
        <v>935888.28300000017</v>
      </c>
      <c r="M177" s="204">
        <v>220578</v>
      </c>
      <c r="N177" s="444"/>
      <c r="O177" s="493"/>
    </row>
    <row r="178" spans="1:15" ht="15" x14ac:dyDescent="0.25">
      <c r="A178" s="350"/>
      <c r="B178" s="355"/>
      <c r="C178" s="355"/>
      <c r="D178" s="355"/>
      <c r="E178" s="355"/>
      <c r="F178" s="355"/>
      <c r="G178" s="355"/>
      <c r="H178" s="355"/>
      <c r="I178" s="355"/>
      <c r="J178" s="151"/>
      <c r="K178" s="355"/>
      <c r="L178" s="151"/>
      <c r="M178" s="151"/>
      <c r="N178" s="151"/>
      <c r="O178" s="396"/>
    </row>
    <row r="179" spans="1:15" ht="15" x14ac:dyDescent="0.25">
      <c r="A179" s="355" t="s">
        <v>1038</v>
      </c>
      <c r="B179" s="436" t="s">
        <v>259</v>
      </c>
      <c r="C179" s="350"/>
      <c r="D179" s="350"/>
      <c r="E179" s="350"/>
      <c r="F179" s="350"/>
      <c r="G179" s="350"/>
      <c r="H179" s="350"/>
      <c r="I179" s="350"/>
      <c r="J179" s="160"/>
      <c r="K179" s="350"/>
      <c r="L179" s="354"/>
      <c r="M179" s="350"/>
      <c r="N179" s="350"/>
      <c r="O179" s="396"/>
    </row>
    <row r="180" spans="1:15" ht="30" x14ac:dyDescent="0.25">
      <c r="A180" s="350"/>
      <c r="B180" s="776" t="s">
        <v>0</v>
      </c>
      <c r="C180" s="792"/>
      <c r="D180" s="792"/>
      <c r="E180" s="792"/>
      <c r="F180" s="792"/>
      <c r="G180" s="792"/>
      <c r="H180" s="792"/>
      <c r="I180" s="792"/>
      <c r="J180" s="792"/>
      <c r="K180" s="793"/>
      <c r="L180" s="397" t="str">
        <f>L5</f>
        <v>As at March 31 2025</v>
      </c>
      <c r="M180" s="398" t="s">
        <v>706</v>
      </c>
      <c r="N180" s="350"/>
      <c r="O180" s="396"/>
    </row>
    <row r="181" spans="1:15" ht="15" x14ac:dyDescent="0.25">
      <c r="A181" s="350"/>
      <c r="B181" s="402" t="s">
        <v>543</v>
      </c>
      <c r="C181" s="350"/>
      <c r="D181" s="350"/>
      <c r="E181" s="350"/>
      <c r="F181" s="350"/>
      <c r="G181" s="350"/>
      <c r="H181" s="350"/>
      <c r="I181" s="350"/>
      <c r="J181" s="157"/>
      <c r="K181" s="403"/>
      <c r="L181" s="154">
        <f>+trial!C167</f>
        <v>298000</v>
      </c>
      <c r="M181" s="162">
        <v>1984334</v>
      </c>
      <c r="N181" s="350"/>
      <c r="O181" s="396"/>
    </row>
    <row r="182" spans="1:15" ht="15" x14ac:dyDescent="0.25">
      <c r="A182" s="350"/>
      <c r="B182" s="402" t="s">
        <v>542</v>
      </c>
      <c r="C182" s="350"/>
      <c r="D182" s="350"/>
      <c r="E182" s="350"/>
      <c r="F182" s="350"/>
      <c r="G182" s="350"/>
      <c r="H182" s="350"/>
      <c r="I182" s="350"/>
      <c r="J182" s="157"/>
      <c r="K182" s="403"/>
      <c r="L182" s="154">
        <f>trial!C142</f>
        <v>80904.98</v>
      </c>
      <c r="M182" s="162">
        <v>15344</v>
      </c>
      <c r="N182" s="350"/>
      <c r="O182" s="396"/>
    </row>
    <row r="183" spans="1:15" ht="15" x14ac:dyDescent="0.25">
      <c r="A183" s="350"/>
      <c r="B183" s="402" t="s">
        <v>569</v>
      </c>
      <c r="C183" s="350"/>
      <c r="D183" s="350"/>
      <c r="E183" s="350"/>
      <c r="F183" s="350"/>
      <c r="G183" s="350"/>
      <c r="H183" s="350"/>
      <c r="I183" s="350"/>
      <c r="J183" s="157"/>
      <c r="K183" s="403"/>
      <c r="L183" s="154">
        <f>trial!C144</f>
        <v>84635</v>
      </c>
      <c r="M183" s="162">
        <v>48000</v>
      </c>
      <c r="N183" s="350"/>
      <c r="O183" s="396"/>
    </row>
    <row r="184" spans="1:15" ht="15" x14ac:dyDescent="0.25">
      <c r="A184" s="350"/>
      <c r="B184" s="402" t="s">
        <v>571</v>
      </c>
      <c r="C184" s="350"/>
      <c r="D184" s="350"/>
      <c r="E184" s="350"/>
      <c r="F184" s="350"/>
      <c r="G184" s="350"/>
      <c r="H184" s="350"/>
      <c r="I184" s="350"/>
      <c r="J184" s="157"/>
      <c r="K184" s="403"/>
      <c r="L184" s="154">
        <f>trial!C147</f>
        <v>11050</v>
      </c>
      <c r="M184" s="162">
        <v>3400</v>
      </c>
      <c r="N184" s="350"/>
      <c r="O184" s="396"/>
    </row>
    <row r="185" spans="1:15" ht="15" x14ac:dyDescent="0.25">
      <c r="A185" s="350"/>
      <c r="B185" s="402" t="s">
        <v>436</v>
      </c>
      <c r="C185" s="350"/>
      <c r="D185" s="350"/>
      <c r="E185" s="350"/>
      <c r="F185" s="350"/>
      <c r="G185" s="350"/>
      <c r="H185" s="350"/>
      <c r="I185" s="350"/>
      <c r="J185" s="157"/>
      <c r="K185" s="403"/>
      <c r="L185" s="154">
        <f>trial!C145</f>
        <v>461268</v>
      </c>
      <c r="M185" s="162">
        <v>647434</v>
      </c>
      <c r="N185" s="350"/>
      <c r="O185" s="396"/>
    </row>
    <row r="186" spans="1:15" ht="15" x14ac:dyDescent="0.25">
      <c r="A186" s="350"/>
      <c r="B186" s="402" t="s">
        <v>592</v>
      </c>
      <c r="C186" s="350"/>
      <c r="D186" s="350"/>
      <c r="E186" s="350"/>
      <c r="F186" s="350"/>
      <c r="G186" s="350"/>
      <c r="H186" s="350"/>
      <c r="I186" s="350"/>
      <c r="J186" s="157"/>
      <c r="K186" s="403"/>
      <c r="L186" s="154">
        <f>+trial!C130-trial!B130</f>
        <v>89996.060000002384</v>
      </c>
      <c r="M186" s="162">
        <v>0</v>
      </c>
      <c r="N186" s="350"/>
      <c r="O186" s="396"/>
    </row>
    <row r="187" spans="1:15" ht="15" x14ac:dyDescent="0.25">
      <c r="A187" s="350"/>
      <c r="B187" s="402" t="s">
        <v>578</v>
      </c>
      <c r="C187" s="350"/>
      <c r="D187" s="350"/>
      <c r="E187" s="350"/>
      <c r="F187" s="350"/>
      <c r="G187" s="350"/>
      <c r="H187" s="350"/>
      <c r="I187" s="350"/>
      <c r="J187" s="157"/>
      <c r="K187" s="403"/>
      <c r="L187" s="154">
        <f>trial!C173</f>
        <v>20706</v>
      </c>
      <c r="M187" s="162">
        <v>19106</v>
      </c>
      <c r="N187" s="350"/>
      <c r="O187" s="396"/>
    </row>
    <row r="188" spans="1:15" ht="15" x14ac:dyDescent="0.25">
      <c r="A188" s="350"/>
      <c r="B188" s="402" t="s">
        <v>827</v>
      </c>
      <c r="C188" s="350"/>
      <c r="D188" s="350"/>
      <c r="E188" s="350"/>
      <c r="F188" s="350"/>
      <c r="G188" s="350"/>
      <c r="H188" s="350"/>
      <c r="I188" s="350"/>
      <c r="J188" s="157"/>
      <c r="K188" s="403"/>
      <c r="L188" s="154">
        <f>trial!C152</f>
        <v>94442</v>
      </c>
      <c r="M188" s="162">
        <v>0</v>
      </c>
      <c r="N188" s="350"/>
      <c r="O188" s="396"/>
    </row>
    <row r="189" spans="1:15" ht="15" x14ac:dyDescent="0.25">
      <c r="A189" s="350"/>
      <c r="B189" s="402" t="s">
        <v>837</v>
      </c>
      <c r="C189" s="350"/>
      <c r="D189" s="350"/>
      <c r="E189" s="350"/>
      <c r="F189" s="350"/>
      <c r="G189" s="350"/>
      <c r="H189" s="350"/>
      <c r="I189" s="350"/>
      <c r="J189" s="157"/>
      <c r="K189" s="403"/>
      <c r="L189" s="154">
        <f>trial!C155</f>
        <v>29222</v>
      </c>
      <c r="M189" s="162">
        <v>0</v>
      </c>
      <c r="N189" s="350"/>
      <c r="O189" s="396"/>
    </row>
    <row r="190" spans="1:15" ht="15" x14ac:dyDescent="0.25">
      <c r="A190" s="350"/>
      <c r="B190" s="402" t="s">
        <v>587</v>
      </c>
      <c r="C190" s="350"/>
      <c r="D190" s="350"/>
      <c r="E190" s="350"/>
      <c r="F190" s="350"/>
      <c r="G190" s="350"/>
      <c r="H190" s="350"/>
      <c r="I190" s="350"/>
      <c r="J190" s="157"/>
      <c r="K190" s="403"/>
      <c r="L190" s="154">
        <f>+trial!C164</f>
        <v>100000</v>
      </c>
      <c r="M190" s="162">
        <v>70000</v>
      </c>
      <c r="N190" s="350"/>
      <c r="O190" s="396"/>
    </row>
    <row r="191" spans="1:15" ht="15" x14ac:dyDescent="0.25">
      <c r="A191" s="350"/>
      <c r="B191" s="402" t="s">
        <v>869</v>
      </c>
      <c r="C191" s="350"/>
      <c r="D191" s="350"/>
      <c r="E191" s="350"/>
      <c r="F191" s="350"/>
      <c r="G191" s="350"/>
      <c r="H191" s="350"/>
      <c r="I191" s="350"/>
      <c r="J191" s="157"/>
      <c r="K191" s="403"/>
      <c r="L191" s="154">
        <f>trial!C146</f>
        <v>8568</v>
      </c>
      <c r="M191" s="162">
        <v>0</v>
      </c>
      <c r="N191" s="350"/>
      <c r="O191" s="396"/>
    </row>
    <row r="192" spans="1:15" ht="15" x14ac:dyDescent="0.25">
      <c r="A192" s="350"/>
      <c r="B192" s="402" t="s">
        <v>927</v>
      </c>
      <c r="C192" s="350"/>
      <c r="D192" s="350"/>
      <c r="E192" s="350"/>
      <c r="F192" s="350"/>
      <c r="G192" s="350"/>
      <c r="H192" s="350"/>
      <c r="I192" s="350"/>
      <c r="J192" s="157"/>
      <c r="K192" s="403"/>
      <c r="L192" s="154">
        <f>trial!C159</f>
        <v>340085</v>
      </c>
      <c r="M192" s="162">
        <v>0</v>
      </c>
      <c r="N192" s="350"/>
      <c r="O192" s="396"/>
    </row>
    <row r="193" spans="1:15" ht="15" x14ac:dyDescent="0.25">
      <c r="A193" s="350"/>
      <c r="B193" s="402" t="s">
        <v>928</v>
      </c>
      <c r="C193" s="350"/>
      <c r="D193" s="350"/>
      <c r="E193" s="350"/>
      <c r="F193" s="350"/>
      <c r="G193" s="350"/>
      <c r="H193" s="350"/>
      <c r="I193" s="350"/>
      <c r="J193" s="157"/>
      <c r="K193" s="403"/>
      <c r="L193" s="157">
        <f>trial!C160</f>
        <v>1076253</v>
      </c>
      <c r="M193" s="162">
        <v>0</v>
      </c>
      <c r="N193" s="350"/>
      <c r="O193" s="396"/>
    </row>
    <row r="194" spans="1:15" ht="15" x14ac:dyDescent="0.25">
      <c r="A194" s="350"/>
      <c r="B194" s="402" t="s">
        <v>589</v>
      </c>
      <c r="C194" s="350"/>
      <c r="D194" s="350"/>
      <c r="E194" s="350"/>
      <c r="F194" s="350"/>
      <c r="G194" s="350"/>
      <c r="H194" s="350"/>
      <c r="I194" s="350"/>
      <c r="J194" s="157"/>
      <c r="K194" s="403"/>
      <c r="L194" s="449">
        <f>trial!C174</f>
        <v>410587.6</v>
      </c>
      <c r="M194" s="162">
        <v>297120</v>
      </c>
      <c r="N194" s="350"/>
      <c r="O194" s="396"/>
    </row>
    <row r="195" spans="1:15" ht="15" x14ac:dyDescent="0.25">
      <c r="A195" s="350"/>
      <c r="B195" s="404" t="s">
        <v>168</v>
      </c>
      <c r="C195" s="405"/>
      <c r="D195" s="405"/>
      <c r="E195" s="405"/>
      <c r="F195" s="405"/>
      <c r="G195" s="405"/>
      <c r="H195" s="405"/>
      <c r="I195" s="405"/>
      <c r="J195" s="173"/>
      <c r="K195" s="433"/>
      <c r="L195" s="174">
        <f>SUM(L181:L194)+0.53</f>
        <v>3105718.1700000023</v>
      </c>
      <c r="M195" s="174">
        <v>3084738</v>
      </c>
      <c r="N195" s="350"/>
      <c r="O195" s="396"/>
    </row>
    <row r="196" spans="1:15" ht="15" x14ac:dyDescent="0.25">
      <c r="A196" s="350"/>
      <c r="B196" s="350"/>
      <c r="C196" s="350"/>
      <c r="D196" s="350"/>
      <c r="E196" s="350"/>
      <c r="F196" s="350"/>
      <c r="G196" s="350"/>
      <c r="H196" s="350"/>
      <c r="I196" s="350"/>
      <c r="J196" s="160"/>
      <c r="K196" s="350"/>
      <c r="L196" s="354"/>
      <c r="M196" s="350"/>
      <c r="N196" s="350"/>
      <c r="O196" s="396"/>
    </row>
    <row r="197" spans="1:15" ht="15" x14ac:dyDescent="0.25">
      <c r="A197" s="350"/>
      <c r="B197" s="350"/>
      <c r="C197" s="350"/>
      <c r="D197" s="350"/>
      <c r="E197" s="350"/>
      <c r="F197" s="350"/>
      <c r="G197" s="350"/>
      <c r="H197" s="350"/>
      <c r="I197" s="350"/>
      <c r="J197" s="160"/>
      <c r="K197" s="350"/>
      <c r="L197" s="354"/>
      <c r="M197" s="350"/>
      <c r="N197" s="350"/>
      <c r="O197" s="396"/>
    </row>
    <row r="198" spans="1:15" ht="15" x14ac:dyDescent="0.25">
      <c r="A198" s="355" t="s">
        <v>239</v>
      </c>
      <c r="B198" s="355" t="s">
        <v>156</v>
      </c>
      <c r="C198" s="350"/>
      <c r="D198" s="350"/>
      <c r="E198" s="350"/>
      <c r="F198" s="350"/>
      <c r="G198" s="350"/>
      <c r="H198" s="350"/>
      <c r="I198" s="350"/>
      <c r="J198" s="160"/>
      <c r="K198" s="350"/>
      <c r="L198" s="354"/>
      <c r="M198" s="350"/>
      <c r="N198" s="350"/>
      <c r="O198" s="396"/>
    </row>
    <row r="199" spans="1:15" ht="30" x14ac:dyDescent="0.25">
      <c r="A199" s="350"/>
      <c r="B199" s="776" t="s">
        <v>0</v>
      </c>
      <c r="C199" s="792"/>
      <c r="D199" s="792"/>
      <c r="E199" s="792"/>
      <c r="F199" s="792"/>
      <c r="G199" s="792"/>
      <c r="H199" s="792"/>
      <c r="I199" s="793"/>
      <c r="J199" s="205" t="s">
        <v>227</v>
      </c>
      <c r="K199" s="398" t="s">
        <v>222</v>
      </c>
      <c r="L199" s="397" t="str">
        <f>L5</f>
        <v>As at March 31 2025</v>
      </c>
      <c r="M199" s="398" t="s">
        <v>706</v>
      </c>
      <c r="N199" s="350"/>
      <c r="O199" s="396"/>
    </row>
    <row r="200" spans="1:15" ht="15" x14ac:dyDescent="0.25">
      <c r="A200" s="350"/>
      <c r="B200" s="411" t="s">
        <v>224</v>
      </c>
      <c r="C200" s="400"/>
      <c r="D200" s="400"/>
      <c r="E200" s="400"/>
      <c r="F200" s="400"/>
      <c r="G200" s="400"/>
      <c r="H200" s="400"/>
      <c r="I200" s="400"/>
      <c r="J200" s="172"/>
      <c r="K200" s="413"/>
      <c r="L200" s="412"/>
      <c r="M200" s="413"/>
      <c r="N200" s="350"/>
      <c r="O200" s="396"/>
    </row>
    <row r="201" spans="1:15" ht="15" x14ac:dyDescent="0.25">
      <c r="A201" s="350"/>
      <c r="B201" s="402" t="s">
        <v>223</v>
      </c>
      <c r="C201" s="350"/>
      <c r="D201" s="350"/>
      <c r="E201" s="350"/>
      <c r="F201" s="350"/>
      <c r="G201" s="350"/>
      <c r="H201" s="350"/>
      <c r="I201" s="350"/>
      <c r="J201" s="154">
        <v>25000000</v>
      </c>
      <c r="K201" s="416">
        <v>10</v>
      </c>
      <c r="L201" s="154">
        <f>+J201*K201</f>
        <v>250000000</v>
      </c>
      <c r="M201" s="154">
        <f>+L201</f>
        <v>250000000</v>
      </c>
      <c r="N201" s="350"/>
      <c r="O201" s="396"/>
    </row>
    <row r="202" spans="1:15" ht="15" x14ac:dyDescent="0.25">
      <c r="A202" s="350"/>
      <c r="B202" s="414" t="s">
        <v>225</v>
      </c>
      <c r="C202" s="350"/>
      <c r="D202" s="350"/>
      <c r="E202" s="350"/>
      <c r="F202" s="350"/>
      <c r="G202" s="350"/>
      <c r="H202" s="350"/>
      <c r="I202" s="350"/>
      <c r="J202" s="154"/>
      <c r="K202" s="416"/>
      <c r="L202" s="415"/>
      <c r="M202" s="154"/>
      <c r="N202" s="350"/>
      <c r="O202" s="396"/>
    </row>
    <row r="203" spans="1:15" ht="14.7" customHeight="1" x14ac:dyDescent="0.25">
      <c r="A203" s="350"/>
      <c r="B203" s="402" t="s">
        <v>223</v>
      </c>
      <c r="C203" s="350"/>
      <c r="D203" s="350"/>
      <c r="E203" s="350"/>
      <c r="F203" s="350"/>
      <c r="G203" s="350"/>
      <c r="H203" s="350"/>
      <c r="I203" s="350"/>
      <c r="J203" s="154">
        <f>3750100*2</f>
        <v>7500200</v>
      </c>
      <c r="K203" s="416">
        <v>10</v>
      </c>
      <c r="L203" s="154">
        <f>trial!C94</f>
        <v>75002000</v>
      </c>
      <c r="M203" s="154">
        <v>37501000</v>
      </c>
      <c r="N203" s="350"/>
      <c r="O203" s="396"/>
    </row>
    <row r="204" spans="1:15" ht="15" x14ac:dyDescent="0.25">
      <c r="A204" s="350"/>
      <c r="B204" s="404" t="s">
        <v>168</v>
      </c>
      <c r="C204" s="405"/>
      <c r="D204" s="405"/>
      <c r="E204" s="405"/>
      <c r="F204" s="405"/>
      <c r="G204" s="405"/>
      <c r="H204" s="405"/>
      <c r="I204" s="405"/>
      <c r="J204" s="174"/>
      <c r="K204" s="434"/>
      <c r="L204" s="494">
        <f>+L203</f>
        <v>75002000</v>
      </c>
      <c r="M204" s="174">
        <v>37501000</v>
      </c>
      <c r="N204" s="350"/>
      <c r="O204" s="396"/>
    </row>
    <row r="205" spans="1:15" ht="15" x14ac:dyDescent="0.25">
      <c r="A205" s="350"/>
      <c r="B205" s="350"/>
      <c r="C205" s="350"/>
      <c r="D205" s="350"/>
      <c r="E205" s="350"/>
      <c r="F205" s="350"/>
      <c r="G205" s="350"/>
      <c r="H205" s="350"/>
      <c r="I205" s="350"/>
      <c r="J205" s="160"/>
      <c r="K205" s="350"/>
      <c r="L205" s="354"/>
      <c r="M205" s="350"/>
      <c r="N205" s="350"/>
      <c r="O205" s="396"/>
    </row>
    <row r="206" spans="1:15" ht="15" x14ac:dyDescent="0.25">
      <c r="A206" s="350"/>
      <c r="B206" s="355" t="s">
        <v>226</v>
      </c>
      <c r="C206" s="355"/>
      <c r="D206" s="355"/>
      <c r="E206" s="355"/>
      <c r="F206" s="355"/>
      <c r="G206" s="355"/>
      <c r="H206" s="355"/>
      <c r="I206" s="355"/>
      <c r="J206" s="206"/>
      <c r="K206" s="350"/>
      <c r="L206" s="354"/>
      <c r="M206" s="350"/>
      <c r="N206" s="350"/>
      <c r="O206" s="396"/>
    </row>
    <row r="207" spans="1:15" ht="15" x14ac:dyDescent="0.25">
      <c r="A207" s="350"/>
      <c r="B207" s="804" t="s">
        <v>0</v>
      </c>
      <c r="C207" s="805"/>
      <c r="D207" s="805"/>
      <c r="E207" s="805"/>
      <c r="F207" s="805"/>
      <c r="G207" s="805"/>
      <c r="H207" s="805"/>
      <c r="I207" s="805"/>
      <c r="J207" s="806"/>
      <c r="K207" s="368" t="s">
        <v>227</v>
      </c>
      <c r="L207" s="495" t="s">
        <v>489</v>
      </c>
      <c r="M207" s="350"/>
      <c r="N207" s="350"/>
      <c r="O207" s="396"/>
    </row>
    <row r="208" spans="1:15" ht="15" x14ac:dyDescent="0.25">
      <c r="A208" s="350"/>
      <c r="B208" s="402" t="s">
        <v>706</v>
      </c>
      <c r="C208" s="350"/>
      <c r="D208" s="350"/>
      <c r="E208" s="350"/>
      <c r="F208" s="350"/>
      <c r="G208" s="350"/>
      <c r="H208" s="350"/>
      <c r="I208" s="350"/>
      <c r="J208" s="158"/>
      <c r="K208" s="172">
        <v>3750100</v>
      </c>
      <c r="L208" s="172">
        <v>37501000</v>
      </c>
      <c r="M208" s="350"/>
      <c r="N208" s="350"/>
      <c r="O208" s="396"/>
    </row>
    <row r="209" spans="1:15" ht="15" x14ac:dyDescent="0.25">
      <c r="A209" s="350"/>
      <c r="B209" s="402" t="s">
        <v>228</v>
      </c>
      <c r="C209" s="350"/>
      <c r="D209" s="350"/>
      <c r="E209" s="350"/>
      <c r="F209" s="350"/>
      <c r="G209" s="350"/>
      <c r="H209" s="350"/>
      <c r="I209" s="350"/>
      <c r="J209" s="158"/>
      <c r="K209" s="192">
        <f>K208</f>
        <v>3750100</v>
      </c>
      <c r="L209" s="192">
        <f>L208</f>
        <v>37501000</v>
      </c>
      <c r="M209" s="350"/>
      <c r="N209" s="350"/>
      <c r="O209" s="396"/>
    </row>
    <row r="210" spans="1:15" ht="15" x14ac:dyDescent="0.25">
      <c r="A210" s="350"/>
      <c r="B210" s="496" t="s">
        <v>868</v>
      </c>
      <c r="C210" s="421"/>
      <c r="D210" s="421"/>
      <c r="E210" s="421"/>
      <c r="F210" s="421"/>
      <c r="G210" s="421"/>
      <c r="H210" s="421"/>
      <c r="I210" s="421"/>
      <c r="J210" s="207"/>
      <c r="K210" s="208">
        <f>K208+K209</f>
        <v>7500200</v>
      </c>
      <c r="L210" s="208">
        <f>L208+L209</f>
        <v>75002000</v>
      </c>
      <c r="M210" s="350"/>
      <c r="N210" s="350"/>
      <c r="O210" s="396"/>
    </row>
    <row r="211" spans="1:15" ht="15" x14ac:dyDescent="0.25">
      <c r="A211" s="350"/>
      <c r="B211" s="350"/>
      <c r="C211" s="350"/>
      <c r="D211" s="350"/>
      <c r="E211" s="350"/>
      <c r="F211" s="350"/>
      <c r="G211" s="350"/>
      <c r="H211" s="350"/>
      <c r="I211" s="350"/>
      <c r="J211" s="160"/>
      <c r="K211" s="350"/>
      <c r="L211" s="354"/>
      <c r="M211" s="350"/>
      <c r="N211" s="350"/>
      <c r="O211" s="396"/>
    </row>
    <row r="212" spans="1:15" ht="15" x14ac:dyDescent="0.25">
      <c r="A212" s="350"/>
      <c r="B212" s="794" t="s">
        <v>1042</v>
      </c>
      <c r="C212" s="794"/>
      <c r="D212" s="794"/>
      <c r="E212" s="794"/>
      <c r="F212" s="794"/>
      <c r="G212" s="794"/>
      <c r="H212" s="794"/>
      <c r="I212" s="794"/>
      <c r="J212" s="794"/>
      <c r="K212" s="794"/>
      <c r="L212" s="794"/>
      <c r="M212" s="348"/>
      <c r="N212" s="348"/>
      <c r="O212" s="396"/>
    </row>
    <row r="213" spans="1:15" ht="15" x14ac:dyDescent="0.25">
      <c r="A213" s="350"/>
      <c r="B213" s="794"/>
      <c r="C213" s="794"/>
      <c r="D213" s="794"/>
      <c r="E213" s="794"/>
      <c r="F213" s="794"/>
      <c r="G213" s="794"/>
      <c r="H213" s="794"/>
      <c r="I213" s="794"/>
      <c r="J213" s="794"/>
      <c r="K213" s="794"/>
      <c r="L213" s="794"/>
      <c r="M213" s="348"/>
      <c r="N213" s="348"/>
      <c r="O213" s="396"/>
    </row>
    <row r="214" spans="1:15" ht="15" x14ac:dyDescent="0.25">
      <c r="A214" s="350"/>
      <c r="B214" s="794"/>
      <c r="C214" s="794"/>
      <c r="D214" s="794"/>
      <c r="E214" s="794"/>
      <c r="F214" s="794"/>
      <c r="G214" s="794"/>
      <c r="H214" s="794"/>
      <c r="I214" s="794"/>
      <c r="J214" s="794"/>
      <c r="K214" s="794"/>
      <c r="L214" s="794"/>
      <c r="M214" s="348"/>
      <c r="N214" s="348"/>
      <c r="O214" s="396"/>
    </row>
    <row r="215" spans="1:15" ht="15" x14ac:dyDescent="0.25">
      <c r="A215" s="350"/>
      <c r="B215" s="350"/>
      <c r="C215" s="350"/>
      <c r="D215" s="350"/>
      <c r="E215" s="350"/>
      <c r="F215" s="350"/>
      <c r="G215" s="350"/>
      <c r="H215" s="350"/>
      <c r="I215" s="350"/>
      <c r="J215" s="160"/>
      <c r="K215" s="350"/>
      <c r="L215" s="354"/>
      <c r="M215" s="350"/>
      <c r="N215" s="350"/>
      <c r="O215" s="396"/>
    </row>
    <row r="216" spans="1:15" ht="15" x14ac:dyDescent="0.25">
      <c r="A216" s="350"/>
      <c r="B216" s="789" t="s">
        <v>1043</v>
      </c>
      <c r="C216" s="789"/>
      <c r="D216" s="789"/>
      <c r="E216" s="789"/>
      <c r="F216" s="789"/>
      <c r="G216" s="789"/>
      <c r="H216" s="789"/>
      <c r="I216" s="789"/>
      <c r="J216" s="789"/>
      <c r="K216" s="789"/>
      <c r="L216" s="789"/>
      <c r="M216" s="789"/>
      <c r="N216" s="789"/>
      <c r="O216" s="396"/>
    </row>
    <row r="217" spans="1:15" ht="15" x14ac:dyDescent="0.25">
      <c r="A217" s="350"/>
      <c r="B217" s="348"/>
      <c r="C217" s="348"/>
      <c r="D217" s="348"/>
      <c r="E217" s="348"/>
      <c r="F217" s="348"/>
      <c r="G217" s="348"/>
      <c r="H217" s="348"/>
      <c r="I217" s="348"/>
      <c r="J217" s="209"/>
      <c r="K217" s="348"/>
      <c r="L217" s="497"/>
      <c r="M217" s="348"/>
      <c r="N217" s="348"/>
      <c r="O217" s="396"/>
    </row>
    <row r="218" spans="1:15" ht="15" x14ac:dyDescent="0.25">
      <c r="A218" s="350"/>
      <c r="B218" s="355" t="s">
        <v>231</v>
      </c>
      <c r="C218" s="350"/>
      <c r="D218" s="350"/>
      <c r="E218" s="350"/>
      <c r="F218" s="350"/>
      <c r="G218" s="350"/>
      <c r="H218" s="350"/>
      <c r="I218" s="350"/>
      <c r="J218" s="160"/>
      <c r="K218" s="350"/>
      <c r="L218" s="354"/>
      <c r="M218" s="350"/>
      <c r="N218" s="350"/>
      <c r="O218" s="396"/>
    </row>
    <row r="219" spans="1:15" ht="15" x14ac:dyDescent="0.25">
      <c r="A219" s="350"/>
      <c r="B219" s="777" t="s">
        <v>0</v>
      </c>
      <c r="C219" s="778"/>
      <c r="D219" s="778"/>
      <c r="E219" s="778"/>
      <c r="F219" s="778"/>
      <c r="G219" s="778"/>
      <c r="H219" s="779"/>
      <c r="I219" s="790" t="str">
        <f>L5</f>
        <v>As at March 31 2025</v>
      </c>
      <c r="J219" s="791"/>
      <c r="K219" s="790">
        <v>45382</v>
      </c>
      <c r="L219" s="791"/>
      <c r="M219" s="350"/>
      <c r="N219" s="350"/>
      <c r="O219" s="396"/>
    </row>
    <row r="220" spans="1:15" ht="30" x14ac:dyDescent="0.25">
      <c r="A220" s="350"/>
      <c r="B220" s="813"/>
      <c r="C220" s="814"/>
      <c r="D220" s="814"/>
      <c r="E220" s="814"/>
      <c r="F220" s="814"/>
      <c r="G220" s="814"/>
      <c r="H220" s="814"/>
      <c r="I220" s="210" t="s">
        <v>229</v>
      </c>
      <c r="J220" s="211" t="s">
        <v>230</v>
      </c>
      <c r="K220" s="210" t="s">
        <v>229</v>
      </c>
      <c r="L220" s="212" t="s">
        <v>230</v>
      </c>
      <c r="M220" s="350"/>
      <c r="N220" s="350"/>
      <c r="O220" s="396"/>
    </row>
    <row r="221" spans="1:15" ht="15" x14ac:dyDescent="0.25">
      <c r="A221" s="498"/>
      <c r="B221" s="815" t="s">
        <v>552</v>
      </c>
      <c r="C221" s="816"/>
      <c r="D221" s="816"/>
      <c r="E221" s="816"/>
      <c r="F221" s="816"/>
      <c r="G221" s="816"/>
      <c r="H221" s="817"/>
      <c r="I221" s="499">
        <v>1188014</v>
      </c>
      <c r="J221" s="213">
        <f>+I221/7500200</f>
        <v>0.15839764272952722</v>
      </c>
      <c r="K221" s="499">
        <v>594007</v>
      </c>
      <c r="L221" s="213">
        <v>0.15839764272952722</v>
      </c>
      <c r="M221" s="498"/>
      <c r="N221" s="498"/>
      <c r="O221" s="396"/>
    </row>
    <row r="222" spans="1:15" ht="15" x14ac:dyDescent="0.25">
      <c r="A222" s="498"/>
      <c r="B222" s="818" t="s">
        <v>549</v>
      </c>
      <c r="C222" s="819"/>
      <c r="D222" s="819"/>
      <c r="E222" s="819"/>
      <c r="F222" s="819"/>
      <c r="G222" s="819"/>
      <c r="H222" s="820"/>
      <c r="I222" s="500">
        <v>1188012</v>
      </c>
      <c r="J222" s="501">
        <f>+I222/7500200</f>
        <v>0.15839737606997148</v>
      </c>
      <c r="K222" s="500">
        <v>594006</v>
      </c>
      <c r="L222" s="501">
        <v>0.15839737606997148</v>
      </c>
      <c r="M222" s="498"/>
      <c r="N222" s="498"/>
      <c r="O222" s="396"/>
    </row>
    <row r="223" spans="1:15" ht="15" x14ac:dyDescent="0.25">
      <c r="A223" s="498"/>
      <c r="B223" s="818" t="s">
        <v>553</v>
      </c>
      <c r="C223" s="819"/>
      <c r="D223" s="819"/>
      <c r="E223" s="819"/>
      <c r="F223" s="819"/>
      <c r="G223" s="819"/>
      <c r="H223" s="820"/>
      <c r="I223" s="500">
        <v>1188010</v>
      </c>
      <c r="J223" s="501">
        <f t="shared" ref="J223:J226" si="0">+I223/7500200</f>
        <v>0.15839710941041571</v>
      </c>
      <c r="K223" s="500">
        <v>594005</v>
      </c>
      <c r="L223" s="501">
        <v>0.15839710941041571</v>
      </c>
      <c r="M223" s="498"/>
      <c r="N223" s="498"/>
      <c r="O223" s="396"/>
    </row>
    <row r="224" spans="1:15" ht="15" x14ac:dyDescent="0.25">
      <c r="A224" s="498"/>
      <c r="B224" s="818" t="s">
        <v>554</v>
      </c>
      <c r="C224" s="819"/>
      <c r="D224" s="819"/>
      <c r="E224" s="819"/>
      <c r="F224" s="819"/>
      <c r="G224" s="819"/>
      <c r="H224" s="820"/>
      <c r="I224" s="500">
        <v>433600</v>
      </c>
      <c r="J224" s="501">
        <f>+I224/K210</f>
        <v>5.7811791685555051E-2</v>
      </c>
      <c r="K224" s="500">
        <v>216800</v>
      </c>
      <c r="L224" s="501">
        <v>5.7811791685555051E-2</v>
      </c>
      <c r="M224" s="498"/>
      <c r="N224" s="498"/>
      <c r="O224" s="396"/>
    </row>
    <row r="225" spans="1:15" ht="15" x14ac:dyDescent="0.25">
      <c r="A225" s="498"/>
      <c r="B225" s="502" t="s">
        <v>555</v>
      </c>
      <c r="C225" s="503"/>
      <c r="D225" s="503"/>
      <c r="E225" s="503"/>
      <c r="F225" s="503"/>
      <c r="G225" s="503"/>
      <c r="H225" s="504"/>
      <c r="I225" s="500">
        <v>409000</v>
      </c>
      <c r="J225" s="501">
        <f t="shared" si="0"/>
        <v>5.4531879149889335E-2</v>
      </c>
      <c r="K225" s="500">
        <v>204500</v>
      </c>
      <c r="L225" s="501">
        <v>5.4531879149889335E-2</v>
      </c>
      <c r="M225" s="498"/>
      <c r="N225" s="498"/>
      <c r="O225" s="396"/>
    </row>
    <row r="226" spans="1:15" ht="15" x14ac:dyDescent="0.25">
      <c r="A226" s="498"/>
      <c r="B226" s="505" t="s">
        <v>795</v>
      </c>
      <c r="C226" s="506"/>
      <c r="D226" s="506"/>
      <c r="E226" s="506"/>
      <c r="F226" s="506"/>
      <c r="G226" s="506"/>
      <c r="H226" s="507"/>
      <c r="I226" s="508">
        <v>522402</v>
      </c>
      <c r="J226" s="509">
        <f t="shared" si="0"/>
        <v>6.9651742620196799E-2</v>
      </c>
      <c r="K226" s="508">
        <v>108180</v>
      </c>
      <c r="L226" s="509">
        <v>2.8799999999999999E-2</v>
      </c>
      <c r="M226" s="498"/>
      <c r="N226" s="498"/>
      <c r="O226" s="396"/>
    </row>
    <row r="227" spans="1:15" ht="15" x14ac:dyDescent="0.25">
      <c r="A227" s="350"/>
      <c r="B227" s="350"/>
      <c r="C227" s="350"/>
      <c r="D227" s="350"/>
      <c r="E227" s="350"/>
      <c r="F227" s="350"/>
      <c r="G227" s="350"/>
      <c r="H227" s="350"/>
      <c r="I227" s="350"/>
      <c r="J227" s="160"/>
      <c r="K227" s="350"/>
      <c r="L227" s="354"/>
      <c r="M227" s="350"/>
      <c r="N227" s="350"/>
      <c r="O227" s="396"/>
    </row>
    <row r="228" spans="1:15" ht="15" x14ac:dyDescent="0.25">
      <c r="A228" s="355" t="s">
        <v>253</v>
      </c>
      <c r="B228" s="355" t="s">
        <v>21</v>
      </c>
      <c r="C228" s="350"/>
      <c r="D228" s="350"/>
      <c r="E228" s="350"/>
      <c r="F228" s="350"/>
      <c r="G228" s="350"/>
      <c r="H228" s="350"/>
      <c r="I228" s="350"/>
      <c r="J228" s="160"/>
      <c r="K228" s="350"/>
      <c r="L228" s="354"/>
      <c r="M228" s="350"/>
      <c r="N228" s="350"/>
      <c r="O228" s="396"/>
    </row>
    <row r="229" spans="1:15" ht="14.7" customHeight="1" x14ac:dyDescent="0.25">
      <c r="A229" s="355"/>
      <c r="B229" s="355"/>
      <c r="C229" s="350"/>
      <c r="D229" s="350"/>
      <c r="E229" s="350"/>
      <c r="F229" s="350"/>
      <c r="G229" s="350"/>
      <c r="H229" s="350"/>
      <c r="I229" s="350"/>
      <c r="J229" s="160"/>
      <c r="K229" s="350"/>
      <c r="L229" s="354"/>
      <c r="M229" s="350"/>
      <c r="N229" s="350"/>
      <c r="O229" s="396"/>
    </row>
    <row r="230" spans="1:15" ht="30" x14ac:dyDescent="0.25">
      <c r="A230" s="355"/>
      <c r="B230" s="757" t="s">
        <v>0</v>
      </c>
      <c r="C230" s="758"/>
      <c r="D230" s="758"/>
      <c r="E230" s="758"/>
      <c r="F230" s="758"/>
      <c r="G230" s="758"/>
      <c r="H230" s="758"/>
      <c r="I230" s="758"/>
      <c r="J230" s="758"/>
      <c r="K230" s="759"/>
      <c r="L230" s="397" t="str">
        <f>L5</f>
        <v>As at March 31 2025</v>
      </c>
      <c r="M230" s="398" t="s">
        <v>706</v>
      </c>
      <c r="N230" s="350"/>
      <c r="O230" s="396"/>
    </row>
    <row r="231" spans="1:15" ht="15" x14ac:dyDescent="0.25">
      <c r="A231" s="355"/>
      <c r="B231" s="399" t="s">
        <v>301</v>
      </c>
      <c r="C231" s="400"/>
      <c r="D231" s="400"/>
      <c r="E231" s="400"/>
      <c r="F231" s="400"/>
      <c r="G231" s="400"/>
      <c r="H231" s="400"/>
      <c r="I231" s="400"/>
      <c r="J231" s="171"/>
      <c r="K231" s="401"/>
      <c r="L231" s="172">
        <v>0</v>
      </c>
      <c r="M231" s="172">
        <v>14100400</v>
      </c>
      <c r="N231" s="350"/>
      <c r="O231" s="396"/>
    </row>
    <row r="232" spans="1:15" ht="15" x14ac:dyDescent="0.25">
      <c r="A232" s="355"/>
      <c r="B232" s="402" t="s">
        <v>425</v>
      </c>
      <c r="C232" s="350"/>
      <c r="D232" s="350"/>
      <c r="E232" s="350"/>
      <c r="F232" s="350"/>
      <c r="G232" s="350"/>
      <c r="H232" s="350"/>
      <c r="I232" s="350"/>
      <c r="J232" s="157"/>
      <c r="K232" s="403"/>
      <c r="L232" s="154">
        <f>L246</f>
        <v>5733399.2522277404</v>
      </c>
      <c r="M232" s="154">
        <v>5482520.7046953272</v>
      </c>
      <c r="N232" s="350"/>
      <c r="O232" s="396"/>
    </row>
    <row r="233" spans="1:15" ht="15" customHeight="1" x14ac:dyDescent="0.25">
      <c r="A233" s="355"/>
      <c r="B233" s="402" t="s">
        <v>302</v>
      </c>
      <c r="C233" s="350"/>
      <c r="D233" s="350"/>
      <c r="E233" s="350"/>
      <c r="F233" s="350"/>
      <c r="G233" s="350"/>
      <c r="H233" s="350"/>
      <c r="I233" s="350"/>
      <c r="J233" s="157"/>
      <c r="K233" s="403"/>
      <c r="L233" s="154">
        <f>+L254</f>
        <v>567475</v>
      </c>
      <c r="M233" s="154">
        <v>567475</v>
      </c>
      <c r="N233" s="432"/>
      <c r="O233" s="396"/>
    </row>
    <row r="234" spans="1:15" ht="15" x14ac:dyDescent="0.25">
      <c r="A234" s="355"/>
      <c r="B234" s="402" t="s">
        <v>157</v>
      </c>
      <c r="C234" s="350"/>
      <c r="D234" s="350"/>
      <c r="E234" s="350"/>
      <c r="F234" s="350"/>
      <c r="G234" s="350"/>
      <c r="H234" s="350"/>
      <c r="I234" s="350"/>
      <c r="J234" s="157"/>
      <c r="K234" s="403"/>
      <c r="L234" s="154">
        <f>L264</f>
        <v>2879862.9998427038</v>
      </c>
      <c r="M234" s="154">
        <v>28277028.809713051</v>
      </c>
      <c r="N234" s="449"/>
      <c r="O234" s="472"/>
    </row>
    <row r="235" spans="1:15" ht="15" x14ac:dyDescent="0.25">
      <c r="A235" s="355"/>
      <c r="B235" s="408" t="s">
        <v>234</v>
      </c>
      <c r="C235" s="409"/>
      <c r="D235" s="409"/>
      <c r="E235" s="409"/>
      <c r="F235" s="409"/>
      <c r="G235" s="409"/>
      <c r="H235" s="409"/>
      <c r="I235" s="409"/>
      <c r="J235" s="175"/>
      <c r="K235" s="419"/>
      <c r="L235" s="192">
        <f>+L270</f>
        <v>0</v>
      </c>
      <c r="M235" s="192">
        <v>0</v>
      </c>
      <c r="N235" s="350"/>
      <c r="O235" s="396"/>
    </row>
    <row r="236" spans="1:15" ht="15" x14ac:dyDescent="0.25">
      <c r="A236" s="355"/>
      <c r="B236" s="404"/>
      <c r="C236" s="421"/>
      <c r="D236" s="421"/>
      <c r="E236" s="421"/>
      <c r="F236" s="421"/>
      <c r="G236" s="421"/>
      <c r="H236" s="421"/>
      <c r="I236" s="421"/>
      <c r="J236" s="176"/>
      <c r="K236" s="421"/>
      <c r="L236" s="174">
        <f>SUM(L231:L235)</f>
        <v>9180737.2520704437</v>
      </c>
      <c r="M236" s="214">
        <v>48427424.51440838</v>
      </c>
      <c r="N236" s="354"/>
      <c r="O236" s="396"/>
    </row>
    <row r="237" spans="1:15" ht="23.25" customHeight="1" x14ac:dyDescent="0.25">
      <c r="A237" s="355"/>
      <c r="B237" s="355"/>
      <c r="C237" s="350"/>
      <c r="D237" s="350"/>
      <c r="E237" s="350"/>
      <c r="F237" s="350"/>
      <c r="G237" s="350"/>
      <c r="H237" s="350"/>
      <c r="I237" s="350"/>
      <c r="J237" s="160"/>
      <c r="K237" s="350"/>
      <c r="L237" s="160"/>
      <c r="M237" s="215"/>
      <c r="N237" s="215"/>
      <c r="O237" s="396"/>
    </row>
    <row r="238" spans="1:15" ht="30" x14ac:dyDescent="0.25">
      <c r="A238" s="350"/>
      <c r="B238" s="810" t="s">
        <v>303</v>
      </c>
      <c r="C238" s="811"/>
      <c r="D238" s="811"/>
      <c r="E238" s="811"/>
      <c r="F238" s="811"/>
      <c r="G238" s="811"/>
      <c r="H238" s="811"/>
      <c r="I238" s="811"/>
      <c r="J238" s="811"/>
      <c r="K238" s="812"/>
      <c r="L238" s="397" t="str">
        <f>L5</f>
        <v>As at March 31 2025</v>
      </c>
      <c r="M238" s="398" t="s">
        <v>706</v>
      </c>
      <c r="N238" s="354"/>
      <c r="O238" s="396"/>
    </row>
    <row r="239" spans="1:15" s="511" customFormat="1" ht="15" x14ac:dyDescent="0.25">
      <c r="A239" s="350"/>
      <c r="B239" s="439" t="s">
        <v>232</v>
      </c>
      <c r="C239" s="440"/>
      <c r="D239" s="440"/>
      <c r="E239" s="440"/>
      <c r="F239" s="440"/>
      <c r="G239" s="440"/>
      <c r="H239" s="440"/>
      <c r="I239" s="440"/>
      <c r="J239" s="185"/>
      <c r="K239" s="441"/>
      <c r="L239" s="189">
        <f>M241</f>
        <v>14100400</v>
      </c>
      <c r="M239" s="189">
        <v>14100400</v>
      </c>
      <c r="N239" s="350"/>
      <c r="O239" s="510"/>
    </row>
    <row r="240" spans="1:15" s="511" customFormat="1" ht="15" x14ac:dyDescent="0.25">
      <c r="A240" s="350"/>
      <c r="B240" s="408" t="s">
        <v>886</v>
      </c>
      <c r="C240" s="409"/>
      <c r="D240" s="409"/>
      <c r="E240" s="409"/>
      <c r="F240" s="409"/>
      <c r="G240" s="409"/>
      <c r="H240" s="409"/>
      <c r="I240" s="409"/>
      <c r="J240" s="175"/>
      <c r="K240" s="419"/>
      <c r="L240" s="192">
        <f>-14100000-400</f>
        <v>-14100400</v>
      </c>
      <c r="M240" s="192">
        <v>0</v>
      </c>
      <c r="N240" s="350"/>
      <c r="O240" s="510"/>
    </row>
    <row r="241" spans="1:15" s="511" customFormat="1" ht="15" x14ac:dyDescent="0.25">
      <c r="A241" s="350"/>
      <c r="B241" s="404" t="s">
        <v>168</v>
      </c>
      <c r="C241" s="405"/>
      <c r="D241" s="405"/>
      <c r="E241" s="405"/>
      <c r="F241" s="405"/>
      <c r="G241" s="405"/>
      <c r="H241" s="405"/>
      <c r="I241" s="405"/>
      <c r="J241" s="173"/>
      <c r="K241" s="433"/>
      <c r="L241" s="174">
        <f>SUM(L239:L240)</f>
        <v>0</v>
      </c>
      <c r="M241" s="174">
        <v>14100400</v>
      </c>
      <c r="N241" s="350"/>
      <c r="O241" s="510"/>
    </row>
    <row r="242" spans="1:15" s="511" customFormat="1" ht="15" x14ac:dyDescent="0.25">
      <c r="A242" s="350"/>
      <c r="B242" s="350"/>
      <c r="C242" s="350"/>
      <c r="D242" s="350"/>
      <c r="E242" s="350"/>
      <c r="F242" s="350"/>
      <c r="G242" s="350"/>
      <c r="H242" s="350"/>
      <c r="I242" s="350"/>
      <c r="J242" s="160"/>
      <c r="K242" s="350"/>
      <c r="L242" s="160"/>
      <c r="M242" s="215"/>
      <c r="N242" s="215"/>
      <c r="O242" s="510"/>
    </row>
    <row r="243" spans="1:15" s="511" customFormat="1" ht="30" x14ac:dyDescent="0.25">
      <c r="A243" s="350"/>
      <c r="B243" s="810" t="s">
        <v>426</v>
      </c>
      <c r="C243" s="811"/>
      <c r="D243" s="811"/>
      <c r="E243" s="811"/>
      <c r="F243" s="811"/>
      <c r="G243" s="811"/>
      <c r="H243" s="811"/>
      <c r="I243" s="811"/>
      <c r="J243" s="811"/>
      <c r="K243" s="812"/>
      <c r="L243" s="397" t="str">
        <f>L5</f>
        <v>As at March 31 2025</v>
      </c>
      <c r="M243" s="398" t="s">
        <v>706</v>
      </c>
      <c r="N243" s="350"/>
      <c r="O243" s="510"/>
    </row>
    <row r="244" spans="1:15" ht="15" x14ac:dyDescent="0.25">
      <c r="A244" s="350"/>
      <c r="B244" s="439" t="s">
        <v>232</v>
      </c>
      <c r="C244" s="440"/>
      <c r="D244" s="440"/>
      <c r="E244" s="440"/>
      <c r="F244" s="440"/>
      <c r="G244" s="440"/>
      <c r="H244" s="440"/>
      <c r="I244" s="440"/>
      <c r="J244" s="185"/>
      <c r="K244" s="441"/>
      <c r="L244" s="189">
        <f>M246</f>
        <v>5482520.7046953272</v>
      </c>
      <c r="M244" s="189">
        <v>4186880.7046953267</v>
      </c>
      <c r="N244" s="350"/>
      <c r="O244" s="396"/>
    </row>
    <row r="245" spans="1:15" ht="15" x14ac:dyDescent="0.25">
      <c r="A245" s="350"/>
      <c r="B245" s="408" t="s">
        <v>233</v>
      </c>
      <c r="C245" s="409"/>
      <c r="D245" s="409"/>
      <c r="E245" s="409"/>
      <c r="F245" s="409"/>
      <c r="G245" s="409"/>
      <c r="H245" s="409"/>
      <c r="I245" s="409"/>
      <c r="J245" s="175"/>
      <c r="K245" s="419"/>
      <c r="L245" s="192">
        <f>L260*20%</f>
        <v>250878.54753241327</v>
      </c>
      <c r="M245" s="192">
        <v>1295640</v>
      </c>
      <c r="N245" s="350"/>
      <c r="O245" s="396"/>
    </row>
    <row r="246" spans="1:15" ht="15" x14ac:dyDescent="0.25">
      <c r="A246" s="350"/>
      <c r="B246" s="404" t="s">
        <v>168</v>
      </c>
      <c r="C246" s="405"/>
      <c r="D246" s="405"/>
      <c r="E246" s="405"/>
      <c r="F246" s="405"/>
      <c r="G246" s="405"/>
      <c r="H246" s="405"/>
      <c r="I246" s="405"/>
      <c r="J246" s="173"/>
      <c r="K246" s="433"/>
      <c r="L246" s="174">
        <f>SUM(L244:L245)</f>
        <v>5733399.2522277404</v>
      </c>
      <c r="M246" s="204">
        <v>5482520.7046953272</v>
      </c>
      <c r="N246" s="444"/>
      <c r="O246" s="396"/>
    </row>
    <row r="247" spans="1:15" ht="15" x14ac:dyDescent="0.25">
      <c r="A247" s="350"/>
      <c r="B247" s="821" t="s">
        <v>469</v>
      </c>
      <c r="C247" s="821"/>
      <c r="D247" s="821"/>
      <c r="E247" s="821"/>
      <c r="F247" s="821"/>
      <c r="G247" s="821"/>
      <c r="H247" s="821"/>
      <c r="I247" s="821"/>
      <c r="J247" s="821"/>
      <c r="K247" s="821"/>
      <c r="L247" s="821"/>
      <c r="M247" s="821"/>
      <c r="N247" s="348"/>
      <c r="O247" s="396"/>
    </row>
    <row r="248" spans="1:15" ht="15" x14ac:dyDescent="0.25">
      <c r="A248" s="350"/>
      <c r="B248" s="822"/>
      <c r="C248" s="822"/>
      <c r="D248" s="822"/>
      <c r="E248" s="822"/>
      <c r="F248" s="822"/>
      <c r="G248" s="822"/>
      <c r="H248" s="822"/>
      <c r="I248" s="822"/>
      <c r="J248" s="822"/>
      <c r="K248" s="822"/>
      <c r="L248" s="822"/>
      <c r="M248" s="822"/>
      <c r="N248" s="348"/>
      <c r="O248" s="396"/>
    </row>
    <row r="249" spans="1:15" ht="15" x14ac:dyDescent="0.25">
      <c r="A249" s="350"/>
      <c r="B249" s="822"/>
      <c r="C249" s="822"/>
      <c r="D249" s="822"/>
      <c r="E249" s="822"/>
      <c r="F249" s="822"/>
      <c r="G249" s="822"/>
      <c r="H249" s="822"/>
      <c r="I249" s="822"/>
      <c r="J249" s="822"/>
      <c r="K249" s="822"/>
      <c r="L249" s="822"/>
      <c r="M249" s="822"/>
      <c r="N249" s="348"/>
      <c r="O249" s="396"/>
    </row>
    <row r="250" spans="1:15" ht="15" x14ac:dyDescent="0.25">
      <c r="A250" s="350"/>
      <c r="B250" s="350"/>
      <c r="C250" s="350"/>
      <c r="D250" s="350"/>
      <c r="E250" s="350"/>
      <c r="F250" s="350"/>
      <c r="G250" s="350"/>
      <c r="H250" s="350"/>
      <c r="I250" s="350"/>
      <c r="J250" s="160"/>
      <c r="K250" s="350"/>
      <c r="L250" s="160"/>
      <c r="M250" s="215"/>
      <c r="N250" s="215"/>
      <c r="O250" s="396"/>
    </row>
    <row r="251" spans="1:15" ht="30" x14ac:dyDescent="0.25">
      <c r="A251" s="350"/>
      <c r="B251" s="810" t="s">
        <v>304</v>
      </c>
      <c r="C251" s="811"/>
      <c r="D251" s="811"/>
      <c r="E251" s="811"/>
      <c r="F251" s="811"/>
      <c r="G251" s="811"/>
      <c r="H251" s="811"/>
      <c r="I251" s="811"/>
      <c r="J251" s="811"/>
      <c r="K251" s="812"/>
      <c r="L251" s="397" t="str">
        <f>L5</f>
        <v>As at March 31 2025</v>
      </c>
      <c r="M251" s="398" t="s">
        <v>706</v>
      </c>
      <c r="N251" s="350"/>
      <c r="O251" s="396"/>
    </row>
    <row r="252" spans="1:15" ht="15" x14ac:dyDescent="0.25">
      <c r="A252" s="350"/>
      <c r="B252" s="439" t="s">
        <v>232</v>
      </c>
      <c r="C252" s="440"/>
      <c r="D252" s="440"/>
      <c r="E252" s="440"/>
      <c r="F252" s="440"/>
      <c r="G252" s="440"/>
      <c r="H252" s="440"/>
      <c r="I252" s="440"/>
      <c r="J252" s="185"/>
      <c r="K252" s="441"/>
      <c r="L252" s="189">
        <f>M254</f>
        <v>567475</v>
      </c>
      <c r="M252" s="189">
        <v>567475</v>
      </c>
      <c r="N252" s="350"/>
      <c r="O252" s="396"/>
    </row>
    <row r="253" spans="1:15" ht="15" x14ac:dyDescent="0.25">
      <c r="A253" s="350"/>
      <c r="B253" s="408" t="s">
        <v>233</v>
      </c>
      <c r="C253" s="409"/>
      <c r="D253" s="409"/>
      <c r="E253" s="409"/>
      <c r="F253" s="409"/>
      <c r="G253" s="409"/>
      <c r="H253" s="409"/>
      <c r="I253" s="409"/>
      <c r="J253" s="175"/>
      <c r="K253" s="419"/>
      <c r="L253" s="192">
        <v>0</v>
      </c>
      <c r="M253" s="192">
        <v>0</v>
      </c>
      <c r="N253" s="350"/>
      <c r="O253" s="396"/>
    </row>
    <row r="254" spans="1:15" ht="29.1" customHeight="1" x14ac:dyDescent="0.25">
      <c r="A254" s="350"/>
      <c r="B254" s="404" t="s">
        <v>168</v>
      </c>
      <c r="C254" s="405"/>
      <c r="D254" s="405"/>
      <c r="E254" s="405"/>
      <c r="F254" s="405"/>
      <c r="G254" s="405"/>
      <c r="H254" s="405"/>
      <c r="I254" s="405"/>
      <c r="J254" s="173"/>
      <c r="K254" s="433"/>
      <c r="L254" s="174">
        <f>+L252+L253</f>
        <v>567475</v>
      </c>
      <c r="M254" s="174">
        <v>567475</v>
      </c>
      <c r="N254" s="350"/>
      <c r="O254" s="396"/>
    </row>
    <row r="255" spans="1:15" ht="15" x14ac:dyDescent="0.25">
      <c r="A255" s="350"/>
      <c r="B255" s="350"/>
      <c r="C255" s="350"/>
      <c r="D255" s="350"/>
      <c r="E255" s="350"/>
      <c r="F255" s="350"/>
      <c r="G255" s="350"/>
      <c r="H255" s="350"/>
      <c r="I255" s="350"/>
      <c r="J255" s="160"/>
      <c r="K255" s="350"/>
      <c r="L255" s="160"/>
      <c r="M255" s="215"/>
      <c r="N255" s="215"/>
      <c r="O255" s="396"/>
    </row>
    <row r="256" spans="1:15" ht="30" x14ac:dyDescent="0.25">
      <c r="A256" s="350"/>
      <c r="B256" s="810" t="s">
        <v>305</v>
      </c>
      <c r="C256" s="811"/>
      <c r="D256" s="811"/>
      <c r="E256" s="811"/>
      <c r="F256" s="811"/>
      <c r="G256" s="811"/>
      <c r="H256" s="811"/>
      <c r="I256" s="811"/>
      <c r="J256" s="811"/>
      <c r="K256" s="812"/>
      <c r="L256" s="397" t="str">
        <f>L5</f>
        <v>As at March 31 2025</v>
      </c>
      <c r="M256" s="398" t="s">
        <v>706</v>
      </c>
      <c r="N256" s="350"/>
      <c r="O256" s="396"/>
    </row>
    <row r="257" spans="1:15" ht="15" x14ac:dyDescent="0.25">
      <c r="A257" s="350"/>
      <c r="B257" s="439" t="s">
        <v>232</v>
      </c>
      <c r="C257" s="440"/>
      <c r="D257" s="440"/>
      <c r="E257" s="440"/>
      <c r="F257" s="440"/>
      <c r="G257" s="440"/>
      <c r="H257" s="440"/>
      <c r="I257" s="440"/>
      <c r="J257" s="185"/>
      <c r="K257" s="441"/>
      <c r="L257" s="189">
        <f>M264</f>
        <v>28277028.809713051</v>
      </c>
      <c r="M257" s="189">
        <v>23094467.818781309</v>
      </c>
      <c r="N257" s="350"/>
      <c r="O257" s="396"/>
    </row>
    <row r="258" spans="1:15" ht="15" x14ac:dyDescent="0.25">
      <c r="A258" s="350"/>
      <c r="B258" s="402" t="s">
        <v>885</v>
      </c>
      <c r="C258" s="350"/>
      <c r="D258" s="350"/>
      <c r="E258" s="350"/>
      <c r="F258" s="350"/>
      <c r="G258" s="350"/>
      <c r="H258" s="350"/>
      <c r="I258" s="350"/>
      <c r="J258" s="157"/>
      <c r="K258" s="403"/>
      <c r="L258" s="154">
        <f>-23401000+400</f>
        <v>-23400600</v>
      </c>
      <c r="M258" s="154">
        <v>0</v>
      </c>
      <c r="N258" s="350"/>
      <c r="O258" s="396"/>
    </row>
    <row r="259" spans="1:15" ht="15" x14ac:dyDescent="0.25">
      <c r="A259" s="350"/>
      <c r="B259" s="402"/>
      <c r="C259" s="350"/>
      <c r="D259" s="350"/>
      <c r="E259" s="350"/>
      <c r="F259" s="350"/>
      <c r="G259" s="350"/>
      <c r="H259" s="350"/>
      <c r="I259" s="350"/>
      <c r="J259" s="157"/>
      <c r="K259" s="403"/>
      <c r="L259" s="154">
        <f>-trial!B87</f>
        <v>-3000080</v>
      </c>
      <c r="M259" s="154"/>
      <c r="N259" s="354"/>
      <c r="O259" s="396"/>
    </row>
    <row r="260" spans="1:15" ht="15" x14ac:dyDescent="0.25">
      <c r="A260" s="350"/>
      <c r="B260" s="402" t="s">
        <v>235</v>
      </c>
      <c r="C260" s="350"/>
      <c r="D260" s="350"/>
      <c r="E260" s="350"/>
      <c r="F260" s="350"/>
      <c r="G260" s="350"/>
      <c r="H260" s="350"/>
      <c r="I260" s="350"/>
      <c r="J260" s="157"/>
      <c r="K260" s="403"/>
      <c r="L260" s="154">
        <f>PorL!D32</f>
        <v>1254392.7376620662</v>
      </c>
      <c r="M260" s="154">
        <v>6478199.9909317419</v>
      </c>
      <c r="N260" s="350"/>
      <c r="O260" s="512"/>
    </row>
    <row r="261" spans="1:15" ht="15" x14ac:dyDescent="0.25">
      <c r="A261" s="350"/>
      <c r="B261" s="402" t="s">
        <v>459</v>
      </c>
      <c r="C261" s="350"/>
      <c r="D261" s="350"/>
      <c r="E261" s="350"/>
      <c r="F261" s="350"/>
      <c r="G261" s="350"/>
      <c r="H261" s="350"/>
      <c r="I261" s="350"/>
      <c r="J261" s="157"/>
      <c r="K261" s="403"/>
      <c r="L261" s="154">
        <f>-L260*20%</f>
        <v>-250878.54753241327</v>
      </c>
      <c r="M261" s="154">
        <v>-1295640</v>
      </c>
      <c r="N261" s="350"/>
      <c r="O261" s="396"/>
    </row>
    <row r="262" spans="1:15" ht="15" x14ac:dyDescent="0.25">
      <c r="A262" s="350"/>
      <c r="B262" s="402" t="s">
        <v>236</v>
      </c>
      <c r="C262" s="350"/>
      <c r="D262" s="350"/>
      <c r="E262" s="350"/>
      <c r="F262" s="350"/>
      <c r="G262" s="350"/>
      <c r="H262" s="350"/>
      <c r="I262" s="350"/>
      <c r="J262" s="157"/>
      <c r="K262" s="403"/>
      <c r="L262" s="154"/>
      <c r="M262" s="154"/>
      <c r="N262" s="432"/>
      <c r="O262" s="396"/>
    </row>
    <row r="263" spans="1:15" ht="15" x14ac:dyDescent="0.25">
      <c r="A263" s="350"/>
      <c r="B263" s="408" t="s">
        <v>940</v>
      </c>
      <c r="C263" s="409"/>
      <c r="D263" s="409"/>
      <c r="E263" s="409"/>
      <c r="F263" s="409"/>
      <c r="G263" s="409"/>
      <c r="H263" s="409"/>
      <c r="I263" s="409"/>
      <c r="J263" s="175"/>
      <c r="K263" s="419"/>
      <c r="L263" s="192">
        <v>0</v>
      </c>
      <c r="M263" s="192">
        <v>0</v>
      </c>
      <c r="N263" s="432"/>
      <c r="O263" s="396"/>
    </row>
    <row r="264" spans="1:15" ht="15" customHeight="1" x14ac:dyDescent="0.25">
      <c r="A264" s="350"/>
      <c r="B264" s="404" t="s">
        <v>168</v>
      </c>
      <c r="C264" s="405"/>
      <c r="D264" s="405"/>
      <c r="E264" s="405"/>
      <c r="F264" s="405"/>
      <c r="G264" s="405"/>
      <c r="H264" s="405"/>
      <c r="I264" s="405"/>
      <c r="J264" s="173"/>
      <c r="K264" s="433"/>
      <c r="L264" s="174">
        <f>SUM(L257:L263)</f>
        <v>2879862.9998427038</v>
      </c>
      <c r="M264" s="174">
        <v>28277028.809713051</v>
      </c>
      <c r="N264" s="449"/>
      <c r="O264" s="472"/>
    </row>
    <row r="265" spans="1:15" ht="15" x14ac:dyDescent="0.25">
      <c r="A265" s="350"/>
      <c r="B265" s="350"/>
      <c r="C265" s="350"/>
      <c r="D265" s="350"/>
      <c r="E265" s="350"/>
      <c r="F265" s="350"/>
      <c r="G265" s="350"/>
      <c r="H265" s="350"/>
      <c r="I265" s="350"/>
      <c r="J265" s="160"/>
      <c r="K265" s="350"/>
      <c r="L265" s="160"/>
      <c r="M265" s="215"/>
      <c r="N265" s="350"/>
      <c r="O265" s="472"/>
    </row>
    <row r="266" spans="1:15" ht="30" x14ac:dyDescent="0.25">
      <c r="A266" s="350"/>
      <c r="B266" s="810" t="s">
        <v>306</v>
      </c>
      <c r="C266" s="811"/>
      <c r="D266" s="811"/>
      <c r="E266" s="811"/>
      <c r="F266" s="811"/>
      <c r="G266" s="811"/>
      <c r="H266" s="811"/>
      <c r="I266" s="811"/>
      <c r="J266" s="811"/>
      <c r="K266" s="812"/>
      <c r="L266" s="397" t="str">
        <f>L5</f>
        <v>As at March 31 2025</v>
      </c>
      <c r="M266" s="398" t="s">
        <v>706</v>
      </c>
      <c r="N266" s="350"/>
      <c r="O266" s="396"/>
    </row>
    <row r="267" spans="1:15" ht="15" x14ac:dyDescent="0.25">
      <c r="A267" s="350"/>
      <c r="B267" s="439" t="s">
        <v>232</v>
      </c>
      <c r="C267" s="440"/>
      <c r="D267" s="440"/>
      <c r="E267" s="440"/>
      <c r="F267" s="440"/>
      <c r="G267" s="440"/>
      <c r="H267" s="440"/>
      <c r="I267" s="440"/>
      <c r="J267" s="185"/>
      <c r="K267" s="441"/>
      <c r="L267" s="189">
        <f>+M270</f>
        <v>0</v>
      </c>
      <c r="M267" s="189">
        <v>0</v>
      </c>
      <c r="N267" s="350"/>
      <c r="O267" s="396"/>
    </row>
    <row r="268" spans="1:15" ht="18" customHeight="1" x14ac:dyDescent="0.25">
      <c r="A268" s="350"/>
      <c r="B268" s="402" t="s">
        <v>233</v>
      </c>
      <c r="C268" s="350"/>
      <c r="D268" s="350"/>
      <c r="E268" s="350"/>
      <c r="F268" s="350"/>
      <c r="G268" s="350"/>
      <c r="H268" s="350"/>
      <c r="I268" s="350"/>
      <c r="J268" s="157"/>
      <c r="K268" s="403"/>
      <c r="L268" s="154">
        <v>0</v>
      </c>
      <c r="M268" s="154">
        <v>0</v>
      </c>
      <c r="N268" s="350"/>
      <c r="O268" s="396"/>
    </row>
    <row r="269" spans="1:15" ht="15" x14ac:dyDescent="0.25">
      <c r="A269" s="350"/>
      <c r="B269" s="408" t="s">
        <v>310</v>
      </c>
      <c r="C269" s="409"/>
      <c r="D269" s="409"/>
      <c r="E269" s="409"/>
      <c r="F269" s="409"/>
      <c r="G269" s="409"/>
      <c r="H269" s="409"/>
      <c r="I269" s="409"/>
      <c r="J269" s="175"/>
      <c r="K269" s="419"/>
      <c r="L269" s="192">
        <f>-L267</f>
        <v>0</v>
      </c>
      <c r="M269" s="192">
        <v>0</v>
      </c>
      <c r="N269" s="354"/>
      <c r="O269" s="396"/>
    </row>
    <row r="270" spans="1:15" ht="15" x14ac:dyDescent="0.25">
      <c r="A270" s="350"/>
      <c r="B270" s="404" t="s">
        <v>168</v>
      </c>
      <c r="C270" s="405"/>
      <c r="D270" s="405"/>
      <c r="E270" s="405"/>
      <c r="F270" s="405"/>
      <c r="G270" s="405"/>
      <c r="H270" s="405"/>
      <c r="I270" s="405"/>
      <c r="J270" s="173"/>
      <c r="K270" s="433"/>
      <c r="L270" s="174">
        <f>SUM(L267:L269)</f>
        <v>0</v>
      </c>
      <c r="M270" s="174">
        <v>0</v>
      </c>
      <c r="N270" s="350"/>
      <c r="O270" s="396"/>
    </row>
    <row r="271" spans="1:15" ht="15" x14ac:dyDescent="0.25">
      <c r="A271" s="350"/>
      <c r="B271" s="350"/>
      <c r="C271" s="350"/>
      <c r="D271" s="350"/>
      <c r="E271" s="350"/>
      <c r="F271" s="350"/>
      <c r="G271" s="350"/>
      <c r="H271" s="350"/>
      <c r="I271" s="350"/>
      <c r="J271" s="160"/>
      <c r="K271" s="350"/>
      <c r="L271" s="354"/>
      <c r="M271" s="350"/>
      <c r="N271" s="350"/>
      <c r="O271" s="396"/>
    </row>
    <row r="272" spans="1:15" ht="15" x14ac:dyDescent="0.25">
      <c r="A272" s="350"/>
      <c r="B272" s="350"/>
      <c r="C272" s="350"/>
      <c r="D272" s="350"/>
      <c r="E272" s="350"/>
      <c r="F272" s="350"/>
      <c r="G272" s="350"/>
      <c r="H272" s="350"/>
      <c r="I272" s="350"/>
      <c r="J272" s="160"/>
      <c r="K272" s="350"/>
      <c r="L272" s="354"/>
      <c r="M272" s="350"/>
      <c r="N272" s="350"/>
      <c r="O272" s="396"/>
    </row>
    <row r="273" spans="1:15" ht="29.1" customHeight="1" x14ac:dyDescent="0.25">
      <c r="A273" s="350"/>
      <c r="B273" s="350"/>
      <c r="C273" s="350"/>
      <c r="D273" s="350"/>
      <c r="E273" s="350"/>
      <c r="F273" s="350"/>
      <c r="G273" s="350"/>
      <c r="H273" s="350"/>
      <c r="I273" s="350"/>
      <c r="J273" s="160"/>
      <c r="K273" s="350"/>
      <c r="L273" s="354"/>
      <c r="M273" s="350"/>
      <c r="N273" s="350"/>
      <c r="O273" s="396"/>
    </row>
    <row r="274" spans="1:15" ht="15" x14ac:dyDescent="0.25">
      <c r="A274" s="350"/>
      <c r="B274" s="350"/>
      <c r="C274" s="350"/>
      <c r="D274" s="350"/>
      <c r="E274" s="350"/>
      <c r="F274" s="350"/>
      <c r="G274" s="350"/>
      <c r="H274" s="350"/>
      <c r="I274" s="350"/>
      <c r="J274" s="160"/>
      <c r="K274" s="350"/>
      <c r="L274" s="354"/>
      <c r="M274" s="350"/>
      <c r="N274" s="350"/>
      <c r="O274" s="396"/>
    </row>
    <row r="275" spans="1:15" ht="15" x14ac:dyDescent="0.25">
      <c r="A275" s="350"/>
      <c r="B275" s="350"/>
      <c r="C275" s="350"/>
      <c r="D275" s="350"/>
      <c r="E275" s="350"/>
      <c r="F275" s="350"/>
      <c r="G275" s="350"/>
      <c r="H275" s="350"/>
      <c r="I275" s="350"/>
      <c r="J275" s="160"/>
      <c r="K275" s="350"/>
      <c r="L275" s="354"/>
      <c r="M275" s="350"/>
      <c r="N275" s="350"/>
      <c r="O275" s="396"/>
    </row>
    <row r="276" spans="1:15" ht="15" x14ac:dyDescent="0.25">
      <c r="A276" s="350"/>
      <c r="B276" s="350"/>
      <c r="C276" s="350"/>
      <c r="D276" s="350"/>
      <c r="E276" s="350"/>
      <c r="F276" s="350"/>
      <c r="G276" s="350"/>
      <c r="H276" s="350"/>
      <c r="I276" s="350"/>
      <c r="J276" s="160"/>
      <c r="K276" s="350"/>
      <c r="L276" s="354"/>
      <c r="M276" s="350"/>
      <c r="N276" s="350"/>
      <c r="O276" s="396"/>
    </row>
    <row r="277" spans="1:15" ht="15" x14ac:dyDescent="0.25">
      <c r="A277" s="350"/>
      <c r="B277" s="350"/>
      <c r="C277" s="350"/>
      <c r="D277" s="350"/>
      <c r="E277" s="350"/>
      <c r="F277" s="350"/>
      <c r="G277" s="350"/>
      <c r="H277" s="350"/>
      <c r="I277" s="350"/>
      <c r="J277" s="160"/>
      <c r="K277" s="350"/>
      <c r="L277" s="354"/>
      <c r="M277" s="350"/>
      <c r="N277" s="350"/>
      <c r="O277" s="396"/>
    </row>
    <row r="278" spans="1:15" ht="15" x14ac:dyDescent="0.25">
      <c r="A278" s="350"/>
      <c r="B278" s="350"/>
      <c r="C278" s="350"/>
      <c r="D278" s="350"/>
      <c r="E278" s="350"/>
      <c r="F278" s="350"/>
      <c r="G278" s="350"/>
      <c r="H278" s="350"/>
      <c r="I278" s="350"/>
      <c r="J278" s="160"/>
      <c r="K278" s="350"/>
      <c r="L278" s="354"/>
      <c r="M278" s="350"/>
      <c r="N278" s="350"/>
      <c r="O278" s="396"/>
    </row>
    <row r="279" spans="1:15" ht="15" x14ac:dyDescent="0.25">
      <c r="A279" s="350"/>
      <c r="B279" s="350"/>
      <c r="C279" s="350"/>
      <c r="D279" s="350"/>
      <c r="E279" s="350"/>
      <c r="F279" s="350"/>
      <c r="G279" s="350"/>
      <c r="H279" s="350"/>
      <c r="I279" s="350"/>
      <c r="J279" s="160"/>
      <c r="K279" s="350"/>
      <c r="L279" s="354"/>
      <c r="M279" s="350"/>
      <c r="N279" s="350"/>
      <c r="O279" s="396"/>
    </row>
    <row r="280" spans="1:15" x14ac:dyDescent="0.25">
      <c r="A280" s="300"/>
      <c r="B280" s="300"/>
      <c r="C280" s="300"/>
      <c r="D280" s="300"/>
      <c r="E280" s="300"/>
      <c r="F280" s="300"/>
      <c r="G280" s="300"/>
      <c r="H280" s="300"/>
      <c r="I280" s="300"/>
      <c r="J280" s="166"/>
      <c r="K280" s="300"/>
      <c r="L280" s="301"/>
      <c r="M280" s="300"/>
      <c r="N280" s="300"/>
    </row>
    <row r="281" spans="1:15" x14ac:dyDescent="0.25">
      <c r="A281" s="300"/>
      <c r="B281" s="300"/>
      <c r="C281" s="300"/>
      <c r="D281" s="300"/>
      <c r="E281" s="300"/>
      <c r="F281" s="300"/>
      <c r="G281" s="300"/>
      <c r="H281" s="300"/>
      <c r="I281" s="300"/>
      <c r="J281" s="166"/>
      <c r="K281" s="300"/>
      <c r="L281" s="301"/>
      <c r="M281" s="300"/>
      <c r="N281" s="300"/>
    </row>
    <row r="282" spans="1:15" ht="29.1" customHeight="1" x14ac:dyDescent="0.25"/>
  </sheetData>
  <mergeCells count="43">
    <mergeCell ref="B266:K266"/>
    <mergeCell ref="B256:K256"/>
    <mergeCell ref="B251:K251"/>
    <mergeCell ref="B243:K243"/>
    <mergeCell ref="B247:M249"/>
    <mergeCell ref="B238:K238"/>
    <mergeCell ref="B230:K230"/>
    <mergeCell ref="B219:H220"/>
    <mergeCell ref="B221:H221"/>
    <mergeCell ref="B222:H222"/>
    <mergeCell ref="B223:H223"/>
    <mergeCell ref="B224:H224"/>
    <mergeCell ref="I219:J219"/>
    <mergeCell ref="B76:K76"/>
    <mergeCell ref="B93:I93"/>
    <mergeCell ref="B85:K85"/>
    <mergeCell ref="B207:J207"/>
    <mergeCell ref="B103:I103"/>
    <mergeCell ref="B216:N216"/>
    <mergeCell ref="K219:L219"/>
    <mergeCell ref="B114:K114"/>
    <mergeCell ref="B180:K180"/>
    <mergeCell ref="B199:I199"/>
    <mergeCell ref="B174:K174"/>
    <mergeCell ref="B212:L214"/>
    <mergeCell ref="B168:K168"/>
    <mergeCell ref="B124:K124"/>
    <mergeCell ref="B134:K134"/>
    <mergeCell ref="B139:K139"/>
    <mergeCell ref="B143:K143"/>
    <mergeCell ref="B146:K146"/>
    <mergeCell ref="B155:K155"/>
    <mergeCell ref="B158:K158"/>
    <mergeCell ref="B164:K164"/>
    <mergeCell ref="A1:N1"/>
    <mergeCell ref="A2:N2"/>
    <mergeCell ref="B5:K5"/>
    <mergeCell ref="B17:K17"/>
    <mergeCell ref="B46:G47"/>
    <mergeCell ref="H46:H47"/>
    <mergeCell ref="I46:J46"/>
    <mergeCell ref="K46:L46"/>
    <mergeCell ref="B11:K11"/>
  </mergeCells>
  <printOptions horizontalCentered="1"/>
  <pageMargins left="0.19685039370078741" right="0.19685039370078741" top="0.19685039370078741" bottom="0.19685039370078741" header="0" footer="0"/>
  <pageSetup paperSize="9" scale="46" fitToHeight="34" orientation="portrait" verticalDpi="300" r:id="rId1"/>
  <rowBreaks count="1" manualBreakCount="1">
    <brk id="11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Normal="100" zoomScaleSheetLayoutView="100" workbookViewId="0">
      <selection activeCell="O7" sqref="O7"/>
    </sheetView>
  </sheetViews>
  <sheetFormatPr defaultColWidth="9.33203125" defaultRowHeight="13.8" x14ac:dyDescent="0.25"/>
  <cols>
    <col min="1" max="1" width="12.44140625" style="261" customWidth="1"/>
    <col min="2" max="3" width="9.33203125" style="261"/>
    <col min="4" max="4" width="13.33203125" style="261" customWidth="1"/>
    <col min="5" max="5" width="13" style="261" customWidth="1"/>
    <col min="6" max="6" width="12.5546875" style="261" customWidth="1"/>
    <col min="7" max="10" width="9.33203125" style="261"/>
    <col min="11" max="11" width="10.5546875" style="261" bestFit="1" customWidth="1"/>
    <col min="12" max="12" width="14.44140625" style="277" customWidth="1"/>
    <col min="13" max="13" width="14.6640625" style="277" customWidth="1"/>
    <col min="14" max="14" width="14.33203125" style="261" bestFit="1" customWidth="1"/>
    <col min="15" max="15" width="9.6640625" style="261" bestFit="1" customWidth="1"/>
    <col min="16" max="16" width="13.5546875" style="261" bestFit="1" customWidth="1"/>
    <col min="17" max="16384" width="9.33203125" style="261"/>
  </cols>
  <sheetData>
    <row r="1" spans="1:14" ht="22.8" x14ac:dyDescent="0.25">
      <c r="A1" s="760" t="s">
        <v>270</v>
      </c>
      <c r="B1" s="760"/>
      <c r="C1" s="760"/>
      <c r="D1" s="760"/>
      <c r="E1" s="760"/>
      <c r="F1" s="760"/>
      <c r="G1" s="760"/>
      <c r="H1" s="760"/>
      <c r="I1" s="760"/>
      <c r="J1" s="760"/>
      <c r="K1" s="760"/>
      <c r="L1" s="760"/>
      <c r="M1" s="760"/>
      <c r="N1" s="513"/>
    </row>
    <row r="2" spans="1:14" ht="15" x14ac:dyDescent="0.25">
      <c r="A2" s="761" t="s">
        <v>88</v>
      </c>
      <c r="B2" s="761"/>
      <c r="C2" s="761"/>
      <c r="D2" s="761"/>
      <c r="E2" s="761"/>
      <c r="F2" s="761"/>
      <c r="G2" s="761"/>
      <c r="H2" s="761"/>
      <c r="I2" s="761"/>
      <c r="J2" s="761"/>
      <c r="K2" s="761"/>
      <c r="L2" s="761"/>
      <c r="M2" s="761"/>
      <c r="N2" s="514"/>
    </row>
    <row r="3" spans="1:14" x14ac:dyDescent="0.25">
      <c r="A3" s="300"/>
      <c r="B3" s="300"/>
      <c r="C3" s="300"/>
      <c r="D3" s="300"/>
      <c r="E3" s="300"/>
      <c r="F3" s="300"/>
      <c r="G3" s="300"/>
      <c r="H3" s="300"/>
      <c r="I3" s="300"/>
      <c r="J3" s="300"/>
      <c r="K3" s="300"/>
      <c r="L3" s="301"/>
      <c r="M3" s="301"/>
    </row>
    <row r="4" spans="1:14" x14ac:dyDescent="0.25">
      <c r="A4" s="300"/>
      <c r="B4" s="300"/>
      <c r="C4" s="300"/>
      <c r="D4" s="300"/>
      <c r="E4" s="300"/>
      <c r="F4" s="300"/>
      <c r="G4" s="300"/>
      <c r="H4" s="300"/>
      <c r="I4" s="300"/>
      <c r="J4" s="300"/>
      <c r="K4" s="300"/>
      <c r="L4" s="301"/>
      <c r="M4" s="301"/>
    </row>
    <row r="5" spans="1:14" x14ac:dyDescent="0.25">
      <c r="A5" s="306" t="s">
        <v>1044</v>
      </c>
      <c r="B5" s="306" t="s">
        <v>31</v>
      </c>
      <c r="C5" s="300"/>
      <c r="D5" s="300"/>
      <c r="E5" s="300"/>
      <c r="F5" s="300"/>
      <c r="G5" s="300"/>
      <c r="H5" s="300"/>
      <c r="I5" s="300"/>
      <c r="J5" s="300"/>
      <c r="K5" s="300"/>
      <c r="L5" s="301"/>
      <c r="M5" s="301"/>
    </row>
    <row r="6" spans="1:14" ht="31.5" customHeight="1" x14ac:dyDescent="0.25">
      <c r="A6" s="300"/>
      <c r="B6" s="823" t="s">
        <v>0</v>
      </c>
      <c r="C6" s="823"/>
      <c r="D6" s="823"/>
      <c r="E6" s="823"/>
      <c r="F6" s="823"/>
      <c r="G6" s="823"/>
      <c r="H6" s="823"/>
      <c r="I6" s="823"/>
      <c r="J6" s="823"/>
      <c r="K6" s="824"/>
      <c r="L6" s="515" t="s">
        <v>865</v>
      </c>
      <c r="M6" s="516" t="s">
        <v>706</v>
      </c>
    </row>
    <row r="7" spans="1:14" x14ac:dyDescent="0.25">
      <c r="A7" s="300"/>
      <c r="B7" s="517" t="s">
        <v>237</v>
      </c>
      <c r="C7" s="377"/>
      <c r="D7" s="377"/>
      <c r="E7" s="377"/>
      <c r="F7" s="377"/>
      <c r="G7" s="377"/>
      <c r="H7" s="377"/>
      <c r="I7" s="377"/>
      <c r="J7" s="377"/>
      <c r="K7" s="378"/>
      <c r="L7" s="148"/>
      <c r="M7" s="148"/>
    </row>
    <row r="8" spans="1:14" x14ac:dyDescent="0.25">
      <c r="A8" s="300"/>
      <c r="B8" s="369" t="s">
        <v>238</v>
      </c>
      <c r="C8" s="300"/>
      <c r="D8" s="300"/>
      <c r="E8" s="300"/>
      <c r="F8" s="300"/>
      <c r="G8" s="300"/>
      <c r="H8" s="300"/>
      <c r="I8" s="300"/>
      <c r="J8" s="300"/>
      <c r="K8" s="370"/>
      <c r="L8" s="116">
        <f>SUM(trial!C26:C36)+trial!C19+trial!C20</f>
        <v>39110190.140000001</v>
      </c>
      <c r="M8" s="116">
        <v>17938544.66</v>
      </c>
    </row>
    <row r="9" spans="1:14" x14ac:dyDescent="0.25">
      <c r="A9" s="300"/>
      <c r="B9" s="379" t="s">
        <v>203</v>
      </c>
      <c r="C9" s="380"/>
      <c r="D9" s="380"/>
      <c r="E9" s="380"/>
      <c r="F9" s="380"/>
      <c r="G9" s="380"/>
      <c r="H9" s="380"/>
      <c r="I9" s="380"/>
      <c r="J9" s="380"/>
      <c r="K9" s="381"/>
      <c r="L9" s="216">
        <f>SUM(L7:L8)</f>
        <v>39110190.140000001</v>
      </c>
      <c r="M9" s="216">
        <v>17938544.66</v>
      </c>
      <c r="N9" s="277"/>
    </row>
    <row r="10" spans="1:14" x14ac:dyDescent="0.25">
      <c r="A10" s="300"/>
      <c r="B10" s="300"/>
      <c r="C10" s="300"/>
      <c r="D10" s="300"/>
      <c r="E10" s="300"/>
      <c r="F10" s="300"/>
      <c r="G10" s="300"/>
      <c r="H10" s="300"/>
      <c r="I10" s="300"/>
      <c r="J10" s="300"/>
      <c r="K10" s="300"/>
      <c r="L10" s="301"/>
      <c r="M10" s="301"/>
    </row>
    <row r="11" spans="1:14" x14ac:dyDescent="0.25">
      <c r="A11" s="306" t="s">
        <v>466</v>
      </c>
      <c r="B11" s="306" t="s">
        <v>240</v>
      </c>
      <c r="C11" s="300"/>
      <c r="D11" s="300"/>
      <c r="E11" s="300"/>
      <c r="F11" s="300"/>
      <c r="G11" s="300"/>
      <c r="H11" s="300"/>
      <c r="I11" s="300"/>
      <c r="J11" s="300"/>
      <c r="K11" s="300"/>
      <c r="L11" s="301"/>
      <c r="M11" s="301"/>
    </row>
    <row r="12" spans="1:14" ht="54.75" customHeight="1" x14ac:dyDescent="0.25">
      <c r="A12" s="300"/>
      <c r="B12" s="823" t="s">
        <v>0</v>
      </c>
      <c r="C12" s="823"/>
      <c r="D12" s="823"/>
      <c r="E12" s="823"/>
      <c r="F12" s="823"/>
      <c r="G12" s="823"/>
      <c r="H12" s="823"/>
      <c r="I12" s="823"/>
      <c r="J12" s="823"/>
      <c r="K12" s="824"/>
      <c r="L12" s="518" t="str">
        <f>L6</f>
        <v>As at 31st March 2025</v>
      </c>
      <c r="M12" s="519" t="s">
        <v>706</v>
      </c>
    </row>
    <row r="13" spans="1:14" x14ac:dyDescent="0.25">
      <c r="A13" s="300"/>
      <c r="B13" s="376" t="s">
        <v>241</v>
      </c>
      <c r="C13" s="377"/>
      <c r="D13" s="377"/>
      <c r="E13" s="377"/>
      <c r="F13" s="377"/>
      <c r="G13" s="377"/>
      <c r="H13" s="377"/>
      <c r="I13" s="377"/>
      <c r="J13" s="377"/>
      <c r="K13" s="378"/>
      <c r="L13" s="148"/>
      <c r="M13" s="148"/>
    </row>
    <row r="14" spans="1:14" x14ac:dyDescent="0.25">
      <c r="A14" s="300"/>
      <c r="B14" s="369" t="s">
        <v>242</v>
      </c>
      <c r="C14" s="300"/>
      <c r="D14" s="300"/>
      <c r="E14" s="300"/>
      <c r="F14" s="300"/>
      <c r="G14" s="300"/>
      <c r="H14" s="300"/>
      <c r="I14" s="300"/>
      <c r="J14" s="300"/>
      <c r="K14" s="370"/>
      <c r="L14" s="116"/>
      <c r="M14" s="116"/>
    </row>
    <row r="15" spans="1:14" x14ac:dyDescent="0.25">
      <c r="A15" s="300"/>
      <c r="B15" s="369" t="s">
        <v>243</v>
      </c>
      <c r="C15" s="300"/>
      <c r="D15" s="300"/>
      <c r="E15" s="300"/>
      <c r="F15" s="300"/>
      <c r="G15" s="300"/>
      <c r="H15" s="300"/>
      <c r="I15" s="300"/>
      <c r="J15" s="300"/>
      <c r="K15" s="370"/>
      <c r="L15" s="116"/>
      <c r="M15" s="116"/>
    </row>
    <row r="16" spans="1:14" x14ac:dyDescent="0.25">
      <c r="A16" s="300"/>
      <c r="B16" s="369" t="s">
        <v>244</v>
      </c>
      <c r="C16" s="300"/>
      <c r="D16" s="300"/>
      <c r="E16" s="300"/>
      <c r="F16" s="300"/>
      <c r="G16" s="300"/>
      <c r="H16" s="300"/>
      <c r="I16" s="300"/>
      <c r="J16" s="300"/>
      <c r="K16" s="370"/>
      <c r="L16" s="116"/>
      <c r="M16" s="116"/>
    </row>
    <row r="17" spans="1:14" x14ac:dyDescent="0.25">
      <c r="A17" s="300"/>
      <c r="B17" s="369" t="s">
        <v>245</v>
      </c>
      <c r="C17" s="300"/>
      <c r="D17" s="300"/>
      <c r="E17" s="300"/>
      <c r="F17" s="300"/>
      <c r="G17" s="300"/>
      <c r="H17" s="300"/>
      <c r="I17" s="300"/>
      <c r="J17" s="300"/>
      <c r="K17" s="370"/>
      <c r="L17" s="116"/>
      <c r="M17" s="116"/>
    </row>
    <row r="18" spans="1:14" x14ac:dyDescent="0.25">
      <c r="A18" s="300"/>
      <c r="B18" s="369" t="s">
        <v>246</v>
      </c>
      <c r="C18" s="300"/>
      <c r="D18" s="300"/>
      <c r="E18" s="300"/>
      <c r="F18" s="300"/>
      <c r="G18" s="300"/>
      <c r="H18" s="300"/>
      <c r="I18" s="300"/>
      <c r="J18" s="300"/>
      <c r="K18" s="370"/>
      <c r="L18" s="116">
        <v>0</v>
      </c>
      <c r="M18" s="116">
        <v>0</v>
      </c>
    </row>
    <row r="19" spans="1:14" x14ac:dyDescent="0.25">
      <c r="A19" s="300"/>
      <c r="B19" s="369" t="s">
        <v>247</v>
      </c>
      <c r="C19" s="300"/>
      <c r="D19" s="300"/>
      <c r="E19" s="300"/>
      <c r="F19" s="300"/>
      <c r="G19" s="300"/>
      <c r="H19" s="300"/>
      <c r="I19" s="300"/>
      <c r="J19" s="300"/>
      <c r="K19" s="370"/>
      <c r="L19" s="116"/>
      <c r="M19" s="116"/>
    </row>
    <row r="20" spans="1:14" x14ac:dyDescent="0.25">
      <c r="A20" s="300"/>
      <c r="B20" s="520" t="s">
        <v>248</v>
      </c>
      <c r="C20" s="300"/>
      <c r="D20" s="300"/>
      <c r="E20" s="300"/>
      <c r="F20" s="300"/>
      <c r="G20" s="300"/>
      <c r="H20" s="300"/>
      <c r="I20" s="300"/>
      <c r="J20" s="300"/>
      <c r="K20" s="370"/>
      <c r="L20" s="217">
        <f>SUM(L14:L19)</f>
        <v>0</v>
      </c>
      <c r="M20" s="217">
        <v>0</v>
      </c>
    </row>
    <row r="21" spans="1:14" x14ac:dyDescent="0.25">
      <c r="A21" s="300"/>
      <c r="B21" s="369" t="s">
        <v>249</v>
      </c>
      <c r="C21" s="300"/>
      <c r="D21" s="300"/>
      <c r="E21" s="300"/>
      <c r="F21" s="300"/>
      <c r="G21" s="300"/>
      <c r="H21" s="300"/>
      <c r="I21" s="300"/>
      <c r="J21" s="300"/>
      <c r="K21" s="370"/>
      <c r="L21" s="116"/>
      <c r="M21" s="116"/>
    </row>
    <row r="22" spans="1:14" x14ac:dyDescent="0.25">
      <c r="A22" s="300"/>
      <c r="B22" s="369" t="s">
        <v>250</v>
      </c>
      <c r="C22" s="300"/>
      <c r="D22" s="300"/>
      <c r="E22" s="300"/>
      <c r="F22" s="300"/>
      <c r="G22" s="300"/>
      <c r="H22" s="300"/>
      <c r="I22" s="300"/>
      <c r="J22" s="300"/>
      <c r="K22" s="370"/>
      <c r="L22" s="116">
        <f>+L20</f>
        <v>0</v>
      </c>
      <c r="M22" s="116">
        <v>0</v>
      </c>
    </row>
    <row r="23" spans="1:14" x14ac:dyDescent="0.25">
      <c r="A23" s="300"/>
      <c r="B23" s="369" t="s">
        <v>251</v>
      </c>
      <c r="C23" s="300"/>
      <c r="D23" s="300"/>
      <c r="E23" s="300"/>
      <c r="F23" s="300"/>
      <c r="G23" s="300"/>
      <c r="H23" s="300"/>
      <c r="I23" s="300"/>
      <c r="J23" s="300"/>
      <c r="K23" s="370"/>
      <c r="L23" s="116">
        <v>0</v>
      </c>
      <c r="M23" s="116">
        <v>0</v>
      </c>
    </row>
    <row r="24" spans="1:14" x14ac:dyDescent="0.25">
      <c r="A24" s="300"/>
      <c r="B24" s="521" t="s">
        <v>252</v>
      </c>
      <c r="C24" s="372"/>
      <c r="D24" s="372"/>
      <c r="E24" s="372"/>
      <c r="F24" s="372"/>
      <c r="G24" s="372"/>
      <c r="H24" s="372"/>
      <c r="I24" s="372"/>
      <c r="J24" s="372"/>
      <c r="K24" s="373"/>
      <c r="L24" s="150">
        <v>0</v>
      </c>
      <c r="M24" s="150">
        <f>SUM(M22:M23)</f>
        <v>0</v>
      </c>
    </row>
    <row r="25" spans="1:14" x14ac:dyDescent="0.25">
      <c r="A25" s="300"/>
      <c r="B25" s="306"/>
      <c r="C25" s="300"/>
      <c r="D25" s="300"/>
      <c r="E25" s="300"/>
      <c r="F25" s="300"/>
      <c r="G25" s="300"/>
      <c r="H25" s="300"/>
      <c r="I25" s="300"/>
      <c r="J25" s="300"/>
      <c r="K25" s="300"/>
      <c r="L25" s="153"/>
      <c r="M25" s="167"/>
    </row>
    <row r="26" spans="1:14" x14ac:dyDescent="0.25">
      <c r="A26" s="306" t="s">
        <v>1045</v>
      </c>
      <c r="B26" s="306" t="s">
        <v>417</v>
      </c>
      <c r="C26" s="300"/>
      <c r="D26" s="300"/>
      <c r="E26" s="300"/>
      <c r="F26" s="300"/>
      <c r="G26" s="300"/>
      <c r="H26" s="300"/>
      <c r="I26" s="300"/>
      <c r="J26" s="300"/>
      <c r="K26" s="300"/>
      <c r="L26" s="301"/>
      <c r="M26" s="301"/>
    </row>
    <row r="27" spans="1:14" ht="33.75" customHeight="1" x14ac:dyDescent="0.25">
      <c r="A27" s="300"/>
      <c r="B27" s="825" t="s">
        <v>0</v>
      </c>
      <c r="C27" s="825"/>
      <c r="D27" s="825"/>
      <c r="E27" s="825"/>
      <c r="F27" s="825"/>
      <c r="G27" s="825"/>
      <c r="H27" s="825"/>
      <c r="I27" s="825"/>
      <c r="J27" s="825"/>
      <c r="K27" s="825"/>
      <c r="L27" s="518" t="str">
        <f>L12</f>
        <v>As at 31st March 2025</v>
      </c>
      <c r="M27" s="519" t="s">
        <v>706</v>
      </c>
    </row>
    <row r="28" spans="1:14" x14ac:dyDescent="0.25">
      <c r="A28" s="300"/>
      <c r="B28" s="369" t="s">
        <v>577</v>
      </c>
      <c r="C28" s="300"/>
      <c r="D28" s="300"/>
      <c r="E28" s="300"/>
      <c r="F28" s="300"/>
      <c r="G28" s="300"/>
      <c r="H28" s="300"/>
      <c r="I28" s="300"/>
      <c r="J28" s="300"/>
      <c r="K28" s="300"/>
      <c r="L28" s="116">
        <f>trial!C22</f>
        <v>2873780</v>
      </c>
      <c r="M28" s="116">
        <v>0</v>
      </c>
    </row>
    <row r="29" spans="1:14" x14ac:dyDescent="0.25">
      <c r="A29" s="300"/>
      <c r="B29" s="369" t="s">
        <v>841</v>
      </c>
      <c r="C29" s="300"/>
      <c r="D29" s="300"/>
      <c r="E29" s="300"/>
      <c r="F29" s="300"/>
      <c r="G29" s="300"/>
      <c r="H29" s="300"/>
      <c r="I29" s="300"/>
      <c r="J29" s="300"/>
      <c r="K29" s="300"/>
      <c r="L29" s="116">
        <f>trial!C14</f>
        <v>1481251.63</v>
      </c>
      <c r="M29" s="116">
        <v>0</v>
      </c>
    </row>
    <row r="30" spans="1:14" x14ac:dyDescent="0.25">
      <c r="A30" s="300"/>
      <c r="B30" s="369" t="s">
        <v>842</v>
      </c>
      <c r="C30" s="300"/>
      <c r="D30" s="300"/>
      <c r="E30" s="300"/>
      <c r="F30" s="300"/>
      <c r="G30" s="300"/>
      <c r="H30" s="300"/>
      <c r="I30" s="300"/>
      <c r="J30" s="300"/>
      <c r="K30" s="300"/>
      <c r="L30" s="116">
        <f>trial!C15</f>
        <v>206175</v>
      </c>
      <c r="M30" s="116">
        <v>0</v>
      </c>
    </row>
    <row r="31" spans="1:14" x14ac:dyDescent="0.25">
      <c r="A31" s="300"/>
      <c r="B31" s="369" t="s">
        <v>416</v>
      </c>
      <c r="C31" s="300"/>
      <c r="D31" s="300"/>
      <c r="E31" s="300"/>
      <c r="F31" s="300"/>
      <c r="G31" s="300"/>
      <c r="H31" s="300"/>
      <c r="I31" s="300"/>
      <c r="J31" s="300"/>
      <c r="K31" s="300"/>
      <c r="L31" s="116">
        <f>trial!C23</f>
        <v>61890</v>
      </c>
      <c r="M31" s="116">
        <v>370280.07</v>
      </c>
    </row>
    <row r="32" spans="1:14" x14ac:dyDescent="0.25">
      <c r="A32" s="300"/>
      <c r="B32" s="379" t="s">
        <v>203</v>
      </c>
      <c r="C32" s="522"/>
      <c r="D32" s="522"/>
      <c r="E32" s="522"/>
      <c r="F32" s="522"/>
      <c r="G32" s="522"/>
      <c r="H32" s="522"/>
      <c r="I32" s="522"/>
      <c r="J32" s="522"/>
      <c r="K32" s="523"/>
      <c r="L32" s="150">
        <f>SUM(L28:L31)</f>
        <v>4623096.63</v>
      </c>
      <c r="M32" s="150">
        <v>370280.07</v>
      </c>
      <c r="N32" s="277"/>
    </row>
    <row r="33" spans="1:13" x14ac:dyDescent="0.25">
      <c r="A33" s="300"/>
      <c r="B33" s="300"/>
      <c r="C33" s="300"/>
      <c r="D33" s="300"/>
      <c r="E33" s="300"/>
      <c r="F33" s="300"/>
      <c r="G33" s="300"/>
      <c r="H33" s="300"/>
      <c r="I33" s="300"/>
      <c r="J33" s="300"/>
      <c r="K33" s="300"/>
      <c r="L33" s="301"/>
      <c r="M33" s="301"/>
    </row>
    <row r="34" spans="1:13" x14ac:dyDescent="0.25">
      <c r="A34" s="306" t="s">
        <v>1046</v>
      </c>
      <c r="B34" s="306" t="s">
        <v>254</v>
      </c>
      <c r="C34" s="300"/>
      <c r="D34" s="300"/>
      <c r="E34" s="300"/>
      <c r="F34" s="300"/>
      <c r="G34" s="300"/>
      <c r="H34" s="300"/>
      <c r="I34" s="300"/>
      <c r="J34" s="300"/>
      <c r="K34" s="300"/>
      <c r="L34" s="301"/>
      <c r="M34" s="301"/>
    </row>
    <row r="35" spans="1:13" ht="34.5" customHeight="1" x14ac:dyDescent="0.25">
      <c r="A35" s="300"/>
      <c r="B35" s="823" t="s">
        <v>0</v>
      </c>
      <c r="C35" s="823"/>
      <c r="D35" s="823"/>
      <c r="E35" s="823"/>
      <c r="F35" s="823"/>
      <c r="G35" s="823"/>
      <c r="H35" s="823"/>
      <c r="I35" s="823"/>
      <c r="J35" s="823"/>
      <c r="K35" s="824"/>
      <c r="L35" s="515" t="str">
        <f>L27</f>
        <v>As at 31st March 2025</v>
      </c>
      <c r="M35" s="516" t="s">
        <v>706</v>
      </c>
    </row>
    <row r="36" spans="1:13" x14ac:dyDescent="0.25">
      <c r="A36" s="300"/>
      <c r="B36" s="369" t="s">
        <v>835</v>
      </c>
      <c r="C36" s="300"/>
      <c r="D36" s="300"/>
      <c r="E36" s="300"/>
      <c r="F36" s="300"/>
      <c r="G36" s="300"/>
      <c r="H36" s="300"/>
      <c r="I36" s="300"/>
      <c r="J36" s="300"/>
      <c r="K36" s="370"/>
      <c r="L36" s="116">
        <f>trial!C24</f>
        <v>6459901.4199999999</v>
      </c>
      <c r="M36" s="116">
        <v>0</v>
      </c>
    </row>
    <row r="37" spans="1:13" x14ac:dyDescent="0.25">
      <c r="A37" s="300"/>
      <c r="B37" s="369" t="s">
        <v>811</v>
      </c>
      <c r="C37" s="300"/>
      <c r="D37" s="300"/>
      <c r="E37" s="300"/>
      <c r="F37" s="300"/>
      <c r="G37" s="300"/>
      <c r="H37" s="300"/>
      <c r="I37" s="300"/>
      <c r="J37" s="300"/>
      <c r="K37" s="370"/>
      <c r="L37" s="116">
        <f>trial!C18</f>
        <v>114450</v>
      </c>
      <c r="M37" s="116">
        <v>0</v>
      </c>
    </row>
    <row r="38" spans="1:13" x14ac:dyDescent="0.25">
      <c r="A38" s="300"/>
      <c r="B38" s="369" t="s">
        <v>478</v>
      </c>
      <c r="C38" s="300"/>
      <c r="D38" s="300"/>
      <c r="E38" s="300"/>
      <c r="F38" s="300"/>
      <c r="G38" s="300"/>
      <c r="H38" s="300"/>
      <c r="I38" s="300"/>
      <c r="J38" s="300"/>
      <c r="K38" s="370"/>
      <c r="L38" s="116">
        <f>trial!C16</f>
        <v>671.71</v>
      </c>
      <c r="M38" s="116">
        <v>1416768.64</v>
      </c>
    </row>
    <row r="39" spans="1:13" x14ac:dyDescent="0.25">
      <c r="A39" s="300"/>
      <c r="B39" s="379" t="s">
        <v>203</v>
      </c>
      <c r="C39" s="522"/>
      <c r="D39" s="522"/>
      <c r="E39" s="522"/>
      <c r="F39" s="522"/>
      <c r="G39" s="522"/>
      <c r="H39" s="522"/>
      <c r="I39" s="522"/>
      <c r="J39" s="522"/>
      <c r="K39" s="523"/>
      <c r="L39" s="150">
        <f>SUM(L36:L38)</f>
        <v>6575023.1299999999</v>
      </c>
      <c r="M39" s="150">
        <v>1416768.64</v>
      </c>
    </row>
    <row r="40" spans="1:13" x14ac:dyDescent="0.25">
      <c r="A40" s="300"/>
      <c r="B40" s="300"/>
      <c r="C40" s="300"/>
      <c r="D40" s="300"/>
      <c r="E40" s="300"/>
      <c r="F40" s="300"/>
      <c r="G40" s="300"/>
      <c r="H40" s="300"/>
      <c r="I40" s="300"/>
      <c r="J40" s="300"/>
      <c r="K40" s="300"/>
      <c r="L40" s="301"/>
      <c r="M40" s="301"/>
    </row>
    <row r="41" spans="1:13" x14ac:dyDescent="0.25">
      <c r="A41" s="306" t="s">
        <v>292</v>
      </c>
      <c r="B41" s="306" t="s">
        <v>257</v>
      </c>
      <c r="C41" s="300"/>
      <c r="D41" s="300"/>
      <c r="E41" s="300"/>
      <c r="F41" s="300"/>
      <c r="G41" s="300"/>
      <c r="H41" s="300"/>
      <c r="I41" s="300"/>
      <c r="J41" s="300"/>
      <c r="K41" s="300"/>
      <c r="L41" s="301"/>
      <c r="M41" s="301"/>
    </row>
    <row r="42" spans="1:13" ht="32.25" customHeight="1" x14ac:dyDescent="0.25">
      <c r="A42" s="300"/>
      <c r="B42" s="823" t="s">
        <v>0</v>
      </c>
      <c r="C42" s="823"/>
      <c r="D42" s="823"/>
      <c r="E42" s="823"/>
      <c r="F42" s="823"/>
      <c r="G42" s="823"/>
      <c r="H42" s="823"/>
      <c r="I42" s="823"/>
      <c r="J42" s="823"/>
      <c r="K42" s="824"/>
      <c r="L42" s="515" t="str">
        <f>L35</f>
        <v>As at 31st March 2025</v>
      </c>
      <c r="M42" s="516" t="s">
        <v>706</v>
      </c>
    </row>
    <row r="43" spans="1:13" x14ac:dyDescent="0.25">
      <c r="A43" s="300"/>
      <c r="B43" s="826" t="s">
        <v>470</v>
      </c>
      <c r="C43" s="827"/>
      <c r="D43" s="827"/>
      <c r="E43" s="827"/>
      <c r="F43" s="827"/>
      <c r="G43" s="827"/>
      <c r="H43" s="827"/>
      <c r="I43" s="827"/>
      <c r="J43" s="827"/>
      <c r="K43" s="828"/>
      <c r="L43" s="170">
        <v>0</v>
      </c>
      <c r="M43" s="170">
        <v>0</v>
      </c>
    </row>
    <row r="44" spans="1:13" x14ac:dyDescent="0.25">
      <c r="A44" s="300"/>
      <c r="B44" s="379" t="s">
        <v>203</v>
      </c>
      <c r="C44" s="380"/>
      <c r="D44" s="380"/>
      <c r="E44" s="380"/>
      <c r="F44" s="380"/>
      <c r="G44" s="380"/>
      <c r="H44" s="380"/>
      <c r="I44" s="380"/>
      <c r="J44" s="380"/>
      <c r="K44" s="381"/>
      <c r="L44" s="150">
        <f>SUM(L43:L43)</f>
        <v>0</v>
      </c>
      <c r="M44" s="150">
        <f>SUM(M43:M43)</f>
        <v>0</v>
      </c>
    </row>
    <row r="45" spans="1:13" x14ac:dyDescent="0.25">
      <c r="A45" s="300"/>
      <c r="B45" s="300"/>
      <c r="C45" s="300"/>
      <c r="D45" s="300"/>
      <c r="E45" s="300"/>
      <c r="F45" s="300"/>
      <c r="G45" s="300"/>
      <c r="H45" s="300"/>
      <c r="I45" s="300"/>
      <c r="J45" s="300"/>
      <c r="K45" s="300"/>
      <c r="L45" s="301"/>
      <c r="M45" s="301"/>
    </row>
    <row r="46" spans="1:13" x14ac:dyDescent="0.25">
      <c r="A46" s="306" t="s">
        <v>458</v>
      </c>
      <c r="B46" s="306" t="s">
        <v>255</v>
      </c>
      <c r="C46" s="300"/>
      <c r="D46" s="300"/>
      <c r="E46" s="300"/>
      <c r="F46" s="300"/>
      <c r="G46" s="300"/>
      <c r="H46" s="300"/>
      <c r="I46" s="300"/>
      <c r="J46" s="300"/>
      <c r="K46" s="300"/>
      <c r="L46" s="301"/>
      <c r="M46" s="301"/>
    </row>
    <row r="47" spans="1:13" ht="30.75" customHeight="1" x14ac:dyDescent="0.25">
      <c r="A47" s="300"/>
      <c r="B47" s="823" t="s">
        <v>0</v>
      </c>
      <c r="C47" s="823"/>
      <c r="D47" s="823"/>
      <c r="E47" s="823"/>
      <c r="F47" s="823"/>
      <c r="G47" s="823"/>
      <c r="H47" s="823"/>
      <c r="I47" s="823"/>
      <c r="J47" s="823"/>
      <c r="K47" s="824"/>
      <c r="L47" s="515" t="str">
        <f>L42</f>
        <v>As at 31st March 2025</v>
      </c>
      <c r="M47" s="516" t="s">
        <v>706</v>
      </c>
    </row>
    <row r="48" spans="1:13" x14ac:dyDescent="0.25">
      <c r="A48" s="300"/>
      <c r="B48" s="376" t="s">
        <v>256</v>
      </c>
      <c r="C48" s="377"/>
      <c r="D48" s="377"/>
      <c r="E48" s="377"/>
      <c r="F48" s="377"/>
      <c r="G48" s="377"/>
      <c r="H48" s="377"/>
      <c r="I48" s="377"/>
      <c r="J48" s="377"/>
      <c r="K48" s="378"/>
      <c r="L48" s="148">
        <f>trial!B45</f>
        <v>16313180</v>
      </c>
      <c r="M48" s="148">
        <v>6036590</v>
      </c>
    </row>
    <row r="49" spans="1:16" x14ac:dyDescent="0.25">
      <c r="A49" s="300"/>
      <c r="B49" s="369" t="s">
        <v>717</v>
      </c>
      <c r="C49" s="300"/>
      <c r="D49" s="300"/>
      <c r="E49" s="300"/>
      <c r="F49" s="300"/>
      <c r="G49" s="300"/>
      <c r="H49" s="300"/>
      <c r="I49" s="300"/>
      <c r="J49" s="300"/>
      <c r="K49" s="370"/>
      <c r="L49" s="116">
        <f>trial!B39</f>
        <v>308805</v>
      </c>
      <c r="M49" s="116">
        <v>38461</v>
      </c>
    </row>
    <row r="50" spans="1:16" x14ac:dyDescent="0.25">
      <c r="A50" s="300"/>
      <c r="B50" s="369" t="s">
        <v>720</v>
      </c>
      <c r="C50" s="300"/>
      <c r="D50" s="300"/>
      <c r="E50" s="300"/>
      <c r="F50" s="300"/>
      <c r="G50" s="300"/>
      <c r="H50" s="300"/>
      <c r="I50" s="300"/>
      <c r="J50" s="300"/>
      <c r="K50" s="370"/>
      <c r="L50" s="116">
        <f>trial!B42</f>
        <v>307650</v>
      </c>
      <c r="M50" s="116">
        <v>33000</v>
      </c>
    </row>
    <row r="51" spans="1:16" x14ac:dyDescent="0.25">
      <c r="A51" s="300"/>
      <c r="B51" s="369" t="s">
        <v>751</v>
      </c>
      <c r="C51" s="300"/>
      <c r="D51" s="300"/>
      <c r="E51" s="300"/>
      <c r="F51" s="300"/>
      <c r="G51" s="300"/>
      <c r="H51" s="300"/>
      <c r="I51" s="300"/>
      <c r="J51" s="300"/>
      <c r="K51" s="370"/>
      <c r="L51" s="116">
        <f>trial!B80</f>
        <v>380717</v>
      </c>
      <c r="M51" s="116">
        <v>172290</v>
      </c>
    </row>
    <row r="52" spans="1:16" x14ac:dyDescent="0.25">
      <c r="A52" s="300"/>
      <c r="B52" s="369" t="s">
        <v>832</v>
      </c>
      <c r="C52" s="300"/>
      <c r="D52" s="300"/>
      <c r="E52" s="300"/>
      <c r="F52" s="300"/>
      <c r="G52" s="300"/>
      <c r="H52" s="300"/>
      <c r="I52" s="300"/>
      <c r="J52" s="300"/>
      <c r="K52" s="370"/>
      <c r="L52" s="116">
        <f>trial!B46</f>
        <v>297706</v>
      </c>
      <c r="M52" s="116">
        <v>0</v>
      </c>
      <c r="N52" s="277"/>
    </row>
    <row r="53" spans="1:16" x14ac:dyDescent="0.25">
      <c r="A53" s="300"/>
      <c r="B53" s="369" t="s">
        <v>833</v>
      </c>
      <c r="C53" s="300"/>
      <c r="D53" s="300"/>
      <c r="E53" s="300"/>
      <c r="F53" s="300"/>
      <c r="G53" s="300"/>
      <c r="H53" s="300"/>
      <c r="I53" s="300"/>
      <c r="J53" s="300"/>
      <c r="K53" s="370"/>
      <c r="L53" s="116">
        <f>trial!B47</f>
        <v>113297</v>
      </c>
      <c r="M53" s="116">
        <v>0</v>
      </c>
    </row>
    <row r="54" spans="1:16" x14ac:dyDescent="0.25">
      <c r="A54" s="300"/>
      <c r="B54" s="379" t="s">
        <v>203</v>
      </c>
      <c r="C54" s="380"/>
      <c r="D54" s="380"/>
      <c r="E54" s="380"/>
      <c r="F54" s="380"/>
      <c r="G54" s="380"/>
      <c r="H54" s="380"/>
      <c r="I54" s="380"/>
      <c r="J54" s="380"/>
      <c r="K54" s="381"/>
      <c r="L54" s="216">
        <f>SUM(L48:L53)</f>
        <v>17721355</v>
      </c>
      <c r="M54" s="216">
        <v>6280341</v>
      </c>
      <c r="N54" s="277"/>
    </row>
    <row r="55" spans="1:16" x14ac:dyDescent="0.25">
      <c r="A55" s="300"/>
      <c r="B55" s="300"/>
      <c r="C55" s="300"/>
      <c r="D55" s="300"/>
      <c r="E55" s="300"/>
      <c r="F55" s="300"/>
      <c r="G55" s="300"/>
      <c r="H55" s="300"/>
      <c r="I55" s="300"/>
      <c r="J55" s="300"/>
      <c r="K55" s="300"/>
      <c r="L55" s="301"/>
      <c r="M55" s="301"/>
    </row>
    <row r="56" spans="1:16" x14ac:dyDescent="0.25">
      <c r="A56" s="306" t="s">
        <v>311</v>
      </c>
      <c r="B56" s="306" t="s">
        <v>258</v>
      </c>
      <c r="C56" s="300"/>
      <c r="D56" s="300"/>
      <c r="E56" s="300"/>
      <c r="F56" s="300"/>
      <c r="G56" s="300"/>
      <c r="H56" s="300"/>
      <c r="I56" s="300"/>
      <c r="J56" s="300"/>
      <c r="K56" s="300"/>
      <c r="L56" s="301"/>
      <c r="M56" s="301"/>
    </row>
    <row r="57" spans="1:16" ht="33.75" customHeight="1" x14ac:dyDescent="0.25">
      <c r="A57" s="300"/>
      <c r="B57" s="823" t="s">
        <v>0</v>
      </c>
      <c r="C57" s="823"/>
      <c r="D57" s="823"/>
      <c r="E57" s="823"/>
      <c r="F57" s="823"/>
      <c r="G57" s="823"/>
      <c r="H57" s="823"/>
      <c r="I57" s="823"/>
      <c r="J57" s="823"/>
      <c r="K57" s="824"/>
      <c r="L57" s="515" t="str">
        <f>L47</f>
        <v>As at 31st March 2025</v>
      </c>
      <c r="M57" s="516" t="s">
        <v>706</v>
      </c>
    </row>
    <row r="58" spans="1:16" x14ac:dyDescent="0.25">
      <c r="A58" s="300"/>
      <c r="B58" s="376" t="s">
        <v>484</v>
      </c>
      <c r="C58" s="377"/>
      <c r="D58" s="377"/>
      <c r="E58" s="377"/>
      <c r="F58" s="377"/>
      <c r="G58" s="377"/>
      <c r="H58" s="377"/>
      <c r="I58" s="377"/>
      <c r="J58" s="377"/>
      <c r="K58" s="378"/>
      <c r="L58" s="259">
        <f>trial!B52-418880</f>
        <v>853277.60000000009</v>
      </c>
      <c r="M58" s="218">
        <v>92430</v>
      </c>
      <c r="P58" s="277"/>
    </row>
    <row r="59" spans="1:16" x14ac:dyDescent="0.25">
      <c r="A59" s="300"/>
      <c r="B59" s="369" t="s">
        <v>485</v>
      </c>
      <c r="C59" s="300"/>
      <c r="D59" s="300"/>
      <c r="E59" s="300"/>
      <c r="F59" s="300"/>
      <c r="G59" s="300"/>
      <c r="H59" s="300"/>
      <c r="I59" s="300"/>
      <c r="J59" s="300"/>
      <c r="K59" s="370"/>
      <c r="L59" s="219"/>
      <c r="M59" s="168"/>
    </row>
    <row r="60" spans="1:16" x14ac:dyDescent="0.25">
      <c r="A60" s="300"/>
      <c r="B60" s="369" t="s">
        <v>486</v>
      </c>
      <c r="C60" s="300"/>
      <c r="D60" s="300"/>
      <c r="E60" s="300"/>
      <c r="F60" s="300"/>
      <c r="G60" s="300"/>
      <c r="H60" s="300"/>
      <c r="I60" s="300"/>
      <c r="J60" s="300"/>
      <c r="K60" s="370"/>
      <c r="L60" s="219">
        <v>100000</v>
      </c>
      <c r="M60" s="168">
        <v>70000</v>
      </c>
    </row>
    <row r="61" spans="1:16" x14ac:dyDescent="0.25">
      <c r="A61" s="300"/>
      <c r="B61" s="524" t="s">
        <v>502</v>
      </c>
      <c r="C61" s="300"/>
      <c r="D61" s="300"/>
      <c r="E61" s="300"/>
      <c r="F61" s="300"/>
      <c r="G61" s="300"/>
      <c r="H61" s="300"/>
      <c r="I61" s="300"/>
      <c r="J61" s="300"/>
      <c r="K61" s="370"/>
      <c r="L61" s="219">
        <f>trial!B38-1260000</f>
        <v>2392894.61</v>
      </c>
      <c r="M61" s="168">
        <v>497640.43000000005</v>
      </c>
    </row>
    <row r="62" spans="1:16" x14ac:dyDescent="0.25">
      <c r="A62" s="300"/>
      <c r="B62" s="524" t="s">
        <v>557</v>
      </c>
      <c r="C62" s="300"/>
      <c r="D62" s="300"/>
      <c r="E62" s="300"/>
      <c r="F62" s="300"/>
      <c r="G62" s="300"/>
      <c r="H62" s="300"/>
      <c r="I62" s="300"/>
      <c r="J62" s="300"/>
      <c r="K62" s="370"/>
      <c r="L62" s="219">
        <f>+trial!B53-100000</f>
        <v>75000</v>
      </c>
      <c r="M62" s="168">
        <v>0</v>
      </c>
    </row>
    <row r="63" spans="1:16" x14ac:dyDescent="0.25">
      <c r="A63" s="300"/>
      <c r="B63" s="369" t="s">
        <v>479</v>
      </c>
      <c r="C63" s="300"/>
      <c r="D63" s="300"/>
      <c r="E63" s="300"/>
      <c r="F63" s="300"/>
      <c r="G63" s="300"/>
      <c r="H63" s="300"/>
      <c r="I63" s="300"/>
      <c r="J63" s="300"/>
      <c r="K63" s="370"/>
      <c r="L63" s="260">
        <f>+trial!B54</f>
        <v>715310.28300000017</v>
      </c>
      <c r="M63" s="168">
        <v>184038</v>
      </c>
      <c r="O63" s="277"/>
    </row>
    <row r="64" spans="1:16" x14ac:dyDescent="0.25">
      <c r="A64" s="300"/>
      <c r="B64" s="369" t="s">
        <v>487</v>
      </c>
      <c r="C64" s="300"/>
      <c r="D64" s="300"/>
      <c r="E64" s="300"/>
      <c r="F64" s="300"/>
      <c r="G64" s="300"/>
      <c r="H64" s="300"/>
      <c r="I64" s="300"/>
      <c r="J64" s="300"/>
      <c r="K64" s="370"/>
      <c r="L64" s="219">
        <f>trial!B57</f>
        <v>417.82999999999993</v>
      </c>
      <c r="M64" s="168">
        <v>803.6</v>
      </c>
    </row>
    <row r="65" spans="1:16" x14ac:dyDescent="0.25">
      <c r="A65" s="300"/>
      <c r="B65" s="369" t="s">
        <v>726</v>
      </c>
      <c r="C65" s="300"/>
      <c r="D65" s="300"/>
      <c r="E65" s="300"/>
      <c r="F65" s="300"/>
      <c r="G65" s="300"/>
      <c r="H65" s="300"/>
      <c r="I65" s="300"/>
      <c r="J65" s="300"/>
      <c r="K65" s="370"/>
      <c r="L65" s="219">
        <f>trial!B60</f>
        <v>90036</v>
      </c>
      <c r="M65" s="168">
        <v>44195</v>
      </c>
      <c r="P65" s="277"/>
    </row>
    <row r="66" spans="1:16" x14ac:dyDescent="0.25">
      <c r="A66" s="300"/>
      <c r="B66" s="524" t="s">
        <v>728</v>
      </c>
      <c r="C66" s="300"/>
      <c r="D66" s="300"/>
      <c r="E66" s="300"/>
      <c r="F66" s="300"/>
      <c r="G66" s="300"/>
      <c r="H66" s="300"/>
      <c r="I66" s="300"/>
      <c r="J66" s="300"/>
      <c r="K66" s="370"/>
      <c r="L66" s="219">
        <f>trial!B62</f>
        <v>196463.6</v>
      </c>
      <c r="M66" s="168">
        <v>456220</v>
      </c>
    </row>
    <row r="67" spans="1:16" x14ac:dyDescent="0.25">
      <c r="A67" s="300"/>
      <c r="B67" s="369" t="s">
        <v>488</v>
      </c>
      <c r="C67" s="300"/>
      <c r="D67" s="300"/>
      <c r="E67" s="300"/>
      <c r="F67" s="300"/>
      <c r="G67" s="300"/>
      <c r="H67" s="300"/>
      <c r="I67" s="300"/>
      <c r="J67" s="300"/>
      <c r="K67" s="370"/>
      <c r="L67" s="219">
        <f>trial!B84</f>
        <v>227933.3</v>
      </c>
      <c r="M67" s="168">
        <v>46858.22</v>
      </c>
    </row>
    <row r="68" spans="1:16" x14ac:dyDescent="0.25">
      <c r="A68" s="300"/>
      <c r="B68" s="369" t="s">
        <v>791</v>
      </c>
      <c r="C68" s="300"/>
      <c r="D68" s="300"/>
      <c r="E68" s="300"/>
      <c r="F68" s="300"/>
      <c r="G68" s="300"/>
      <c r="H68" s="300"/>
      <c r="I68" s="300"/>
      <c r="J68" s="300"/>
      <c r="K68" s="370"/>
      <c r="L68" s="219">
        <f>trial!B59+trial!B65+trial!B79</f>
        <v>689652.2</v>
      </c>
      <c r="M68" s="168">
        <v>0</v>
      </c>
    </row>
    <row r="69" spans="1:16" x14ac:dyDescent="0.25">
      <c r="A69" s="300"/>
      <c r="B69" s="524" t="s">
        <v>804</v>
      </c>
      <c r="C69" s="300"/>
      <c r="D69" s="300"/>
      <c r="E69" s="300"/>
      <c r="F69" s="300"/>
      <c r="G69" s="300"/>
      <c r="H69" s="300"/>
      <c r="I69" s="300"/>
      <c r="J69" s="300"/>
      <c r="K69" s="370"/>
      <c r="L69" s="219">
        <f>trial!B64</f>
        <v>15428</v>
      </c>
      <c r="M69" s="168">
        <v>0</v>
      </c>
    </row>
    <row r="70" spans="1:16" x14ac:dyDescent="0.25">
      <c r="A70" s="300"/>
      <c r="B70" s="524" t="s">
        <v>746</v>
      </c>
      <c r="C70" s="300"/>
      <c r="D70" s="300"/>
      <c r="E70" s="300"/>
      <c r="F70" s="300"/>
      <c r="G70" s="300"/>
      <c r="H70" s="300"/>
      <c r="I70" s="300"/>
      <c r="J70" s="300"/>
      <c r="K70" s="370"/>
      <c r="L70" s="219">
        <f>trial!B61</f>
        <v>1012517.5</v>
      </c>
      <c r="M70" s="168">
        <v>247554</v>
      </c>
      <c r="N70" s="277"/>
    </row>
    <row r="71" spans="1:16" x14ac:dyDescent="0.25">
      <c r="A71" s="300"/>
      <c r="B71" s="524" t="s">
        <v>719</v>
      </c>
      <c r="C71" s="300"/>
      <c r="D71" s="300"/>
      <c r="E71" s="300"/>
      <c r="F71" s="300"/>
      <c r="G71" s="300"/>
      <c r="H71" s="300"/>
      <c r="I71" s="300"/>
      <c r="J71" s="300"/>
      <c r="K71" s="370"/>
      <c r="L71" s="219">
        <f>trial!B40</f>
        <v>289050</v>
      </c>
      <c r="M71" s="168">
        <v>44250</v>
      </c>
    </row>
    <row r="72" spans="1:16" x14ac:dyDescent="0.25">
      <c r="A72" s="300"/>
      <c r="B72" s="524" t="s">
        <v>899</v>
      </c>
      <c r="C72" s="300"/>
      <c r="D72" s="300"/>
      <c r="E72" s="300"/>
      <c r="F72" s="300"/>
      <c r="G72" s="300"/>
      <c r="H72" s="300"/>
      <c r="I72" s="300"/>
      <c r="J72" s="300"/>
      <c r="K72" s="370"/>
      <c r="L72" s="219">
        <f>trial!B41</f>
        <v>483623</v>
      </c>
      <c r="M72" s="168">
        <v>0</v>
      </c>
    </row>
    <row r="73" spans="1:16" x14ac:dyDescent="0.25">
      <c r="A73" s="300"/>
      <c r="B73" s="524" t="s">
        <v>900</v>
      </c>
      <c r="C73" s="300"/>
      <c r="D73" s="300"/>
      <c r="E73" s="300"/>
      <c r="F73" s="300"/>
      <c r="G73" s="300"/>
      <c r="H73" s="300"/>
      <c r="I73" s="300"/>
      <c r="J73" s="300"/>
      <c r="K73" s="370"/>
      <c r="L73" s="219">
        <f>trial!B44-500000</f>
        <v>500000</v>
      </c>
      <c r="M73" s="168">
        <v>0</v>
      </c>
    </row>
    <row r="74" spans="1:16" x14ac:dyDescent="0.25">
      <c r="A74" s="300"/>
      <c r="B74" s="369" t="s">
        <v>744</v>
      </c>
      <c r="C74" s="300"/>
      <c r="D74" s="300"/>
      <c r="E74" s="300"/>
      <c r="F74" s="300"/>
      <c r="G74" s="300"/>
      <c r="H74" s="300"/>
      <c r="I74" s="300"/>
      <c r="J74" s="300"/>
      <c r="K74" s="370"/>
      <c r="L74" s="219">
        <f>trial!B58+trial!B43</f>
        <v>9567093</v>
      </c>
      <c r="M74" s="168">
        <v>13000</v>
      </c>
    </row>
    <row r="75" spans="1:16" x14ac:dyDescent="0.25">
      <c r="A75" s="300"/>
      <c r="B75" s="524" t="s">
        <v>730</v>
      </c>
      <c r="C75" s="300"/>
      <c r="D75" s="300"/>
      <c r="E75" s="300"/>
      <c r="F75" s="300"/>
      <c r="G75" s="300"/>
      <c r="H75" s="300"/>
      <c r="I75" s="300"/>
      <c r="J75" s="300"/>
      <c r="K75" s="370"/>
      <c r="L75" s="219">
        <f>trial!B66</f>
        <v>129292.56</v>
      </c>
      <c r="M75" s="168">
        <v>145305.26999999999</v>
      </c>
    </row>
    <row r="76" spans="1:16" x14ac:dyDescent="0.25">
      <c r="A76" s="300"/>
      <c r="B76" s="524" t="s">
        <v>748</v>
      </c>
      <c r="C76" s="300"/>
      <c r="D76" s="300"/>
      <c r="E76" s="300"/>
      <c r="F76" s="300"/>
      <c r="G76" s="300"/>
      <c r="H76" s="300"/>
      <c r="I76" s="300"/>
      <c r="J76" s="300"/>
      <c r="K76" s="370"/>
      <c r="L76" s="219">
        <f>trial!B67</f>
        <v>2205</v>
      </c>
      <c r="M76" s="168">
        <v>1418</v>
      </c>
    </row>
    <row r="77" spans="1:16" x14ac:dyDescent="0.25">
      <c r="A77" s="300"/>
      <c r="B77" s="369" t="s">
        <v>749</v>
      </c>
      <c r="C77" s="300"/>
      <c r="D77" s="300"/>
      <c r="E77" s="300"/>
      <c r="F77" s="300"/>
      <c r="G77" s="300"/>
      <c r="H77" s="300"/>
      <c r="I77" s="300"/>
      <c r="J77" s="300"/>
      <c r="K77" s="370"/>
      <c r="L77" s="219">
        <f>trial!B68-1712614.4</f>
        <v>428153.60000000009</v>
      </c>
      <c r="M77" s="168">
        <v>19500</v>
      </c>
    </row>
    <row r="78" spans="1:16" x14ac:dyDescent="0.25">
      <c r="A78" s="300"/>
      <c r="B78" s="524" t="s">
        <v>733</v>
      </c>
      <c r="C78" s="300"/>
      <c r="D78" s="300"/>
      <c r="E78" s="300"/>
      <c r="F78" s="300"/>
      <c r="G78" s="300"/>
      <c r="H78" s="300"/>
      <c r="I78" s="300"/>
      <c r="J78" s="300"/>
      <c r="K78" s="370"/>
      <c r="L78" s="219">
        <f>trial!B69</f>
        <v>35192</v>
      </c>
      <c r="M78" s="168">
        <v>14037</v>
      </c>
    </row>
    <row r="79" spans="1:16" x14ac:dyDescent="0.25">
      <c r="A79" s="300"/>
      <c r="B79" s="524" t="s">
        <v>734</v>
      </c>
      <c r="C79" s="300"/>
      <c r="D79" s="300"/>
      <c r="E79" s="300"/>
      <c r="F79" s="300"/>
      <c r="G79" s="300"/>
      <c r="H79" s="300"/>
      <c r="I79" s="300"/>
      <c r="J79" s="300"/>
      <c r="K79" s="370"/>
      <c r="L79" s="219">
        <f>trial!B70+trial!B211+trial!B207</f>
        <v>346852.54000000004</v>
      </c>
      <c r="M79" s="168">
        <v>73952.94</v>
      </c>
    </row>
    <row r="80" spans="1:16" x14ac:dyDescent="0.25">
      <c r="A80" s="300"/>
      <c r="B80" s="524" t="s">
        <v>481</v>
      </c>
      <c r="C80" s="300"/>
      <c r="D80" s="300"/>
      <c r="E80" s="300"/>
      <c r="F80" s="300"/>
      <c r="G80" s="300"/>
      <c r="H80" s="300"/>
      <c r="I80" s="300"/>
      <c r="J80" s="300"/>
      <c r="K80" s="370"/>
      <c r="L80" s="219">
        <f>trial!B71</f>
        <v>34753</v>
      </c>
      <c r="M80" s="168">
        <v>2030</v>
      </c>
    </row>
    <row r="81" spans="1:13" x14ac:dyDescent="0.25">
      <c r="A81" s="300"/>
      <c r="B81" s="524" t="s">
        <v>482</v>
      </c>
      <c r="C81" s="300"/>
      <c r="D81" s="300"/>
      <c r="E81" s="300"/>
      <c r="F81" s="300"/>
      <c r="G81" s="300"/>
      <c r="H81" s="300"/>
      <c r="I81" s="300"/>
      <c r="J81" s="300"/>
      <c r="K81" s="370"/>
      <c r="L81" s="219">
        <f>trial!B72</f>
        <v>433423</v>
      </c>
      <c r="M81" s="168">
        <v>114134</v>
      </c>
    </row>
    <row r="82" spans="1:13" x14ac:dyDescent="0.25">
      <c r="A82" s="300"/>
      <c r="B82" s="524" t="s">
        <v>736</v>
      </c>
      <c r="C82" s="300"/>
      <c r="D82" s="300"/>
      <c r="E82" s="300"/>
      <c r="F82" s="300"/>
      <c r="G82" s="300"/>
      <c r="H82" s="300"/>
      <c r="I82" s="300"/>
      <c r="J82" s="300"/>
      <c r="K82" s="370"/>
      <c r="L82" s="219">
        <f>trial!B73</f>
        <v>624190.49</v>
      </c>
      <c r="M82" s="168">
        <v>5600</v>
      </c>
    </row>
    <row r="83" spans="1:13" x14ac:dyDescent="0.25">
      <c r="A83" s="300"/>
      <c r="B83" s="524" t="s">
        <v>483</v>
      </c>
      <c r="C83" s="300"/>
      <c r="D83" s="300"/>
      <c r="E83" s="300"/>
      <c r="F83" s="300"/>
      <c r="G83" s="300"/>
      <c r="H83" s="300"/>
      <c r="I83" s="300"/>
      <c r="J83" s="300"/>
      <c r="K83" s="370"/>
      <c r="L83" s="219">
        <f>trial!B75+trial!B56+trial!B74</f>
        <v>369091</v>
      </c>
      <c r="M83" s="168">
        <v>2382</v>
      </c>
    </row>
    <row r="84" spans="1:13" x14ac:dyDescent="0.25">
      <c r="A84" s="300"/>
      <c r="B84" s="524" t="s">
        <v>556</v>
      </c>
      <c r="C84" s="300"/>
      <c r="D84" s="300"/>
      <c r="E84" s="300"/>
      <c r="F84" s="300"/>
      <c r="G84" s="300"/>
      <c r="H84" s="300"/>
      <c r="I84" s="300"/>
      <c r="J84" s="300"/>
      <c r="K84" s="370"/>
      <c r="L84" s="219">
        <f>trial!B76</f>
        <v>2552769</v>
      </c>
      <c r="M84" s="168">
        <v>44100</v>
      </c>
    </row>
    <row r="85" spans="1:13" x14ac:dyDescent="0.25">
      <c r="A85" s="300"/>
      <c r="B85" s="524" t="s">
        <v>447</v>
      </c>
      <c r="C85" s="300"/>
      <c r="D85" s="300"/>
      <c r="E85" s="300"/>
      <c r="F85" s="300"/>
      <c r="G85" s="300"/>
      <c r="H85" s="300"/>
      <c r="I85" s="300"/>
      <c r="J85" s="300"/>
      <c r="K85" s="370"/>
      <c r="L85" s="219">
        <f>trial!B77</f>
        <v>479773.64</v>
      </c>
      <c r="M85" s="168">
        <v>650</v>
      </c>
    </row>
    <row r="86" spans="1:13" x14ac:dyDescent="0.25">
      <c r="A86" s="300"/>
      <c r="B86" s="524" t="s">
        <v>747</v>
      </c>
      <c r="C86" s="300"/>
      <c r="D86" s="300"/>
      <c r="E86" s="300"/>
      <c r="F86" s="300"/>
      <c r="G86" s="300"/>
      <c r="H86" s="300"/>
      <c r="I86" s="300"/>
      <c r="J86" s="300"/>
      <c r="K86" s="370"/>
      <c r="L86" s="219">
        <f>trial!B63</f>
        <v>1038712</v>
      </c>
      <c r="M86" s="168">
        <v>570000</v>
      </c>
    </row>
    <row r="87" spans="1:13" x14ac:dyDescent="0.25">
      <c r="A87" s="300"/>
      <c r="B87" s="369" t="s">
        <v>750</v>
      </c>
      <c r="C87" s="300"/>
      <c r="D87" s="300"/>
      <c r="E87" s="300"/>
      <c r="F87" s="300"/>
      <c r="G87" s="300"/>
      <c r="H87" s="300"/>
      <c r="I87" s="300"/>
      <c r="J87" s="300"/>
      <c r="K87" s="370"/>
      <c r="L87" s="219">
        <f>trial!B78</f>
        <v>3944805</v>
      </c>
      <c r="M87" s="168">
        <v>212532</v>
      </c>
    </row>
    <row r="88" spans="1:13" x14ac:dyDescent="0.25">
      <c r="A88" s="300"/>
      <c r="B88" s="524" t="s">
        <v>446</v>
      </c>
      <c r="C88" s="300"/>
      <c r="D88" s="300"/>
      <c r="E88" s="300"/>
      <c r="F88" s="300"/>
      <c r="G88" s="300"/>
      <c r="H88" s="300"/>
      <c r="I88" s="300"/>
      <c r="J88" s="300"/>
      <c r="K88" s="370"/>
      <c r="L88" s="219">
        <f>trial!B48</f>
        <v>300000</v>
      </c>
      <c r="M88" s="168">
        <v>375000</v>
      </c>
    </row>
    <row r="89" spans="1:13" x14ac:dyDescent="0.25">
      <c r="A89" s="300"/>
      <c r="B89" s="524" t="s">
        <v>745</v>
      </c>
      <c r="C89" s="300"/>
      <c r="D89" s="300"/>
      <c r="E89" s="300"/>
      <c r="F89" s="300"/>
      <c r="G89" s="300"/>
      <c r="H89" s="300"/>
      <c r="I89" s="300"/>
      <c r="J89" s="300"/>
      <c r="K89" s="370"/>
      <c r="L89" s="219">
        <f>trial!B50-trial!C49</f>
        <v>10610</v>
      </c>
      <c r="M89" s="168">
        <v>2520</v>
      </c>
    </row>
    <row r="90" spans="1:13" x14ac:dyDescent="0.25">
      <c r="A90" s="300"/>
      <c r="B90" s="524" t="s">
        <v>740</v>
      </c>
      <c r="C90" s="300"/>
      <c r="D90" s="300"/>
      <c r="E90" s="300"/>
      <c r="F90" s="300"/>
      <c r="G90" s="300"/>
      <c r="H90" s="300"/>
      <c r="I90" s="300"/>
      <c r="J90" s="300"/>
      <c r="K90" s="370"/>
      <c r="L90" s="219">
        <f>trial!B81</f>
        <v>204570</v>
      </c>
      <c r="M90" s="168">
        <v>30920</v>
      </c>
    </row>
    <row r="91" spans="1:13" x14ac:dyDescent="0.25">
      <c r="A91" s="300"/>
      <c r="B91" s="524" t="s">
        <v>448</v>
      </c>
      <c r="C91" s="300"/>
      <c r="D91" s="300"/>
      <c r="E91" s="300"/>
      <c r="F91" s="300"/>
      <c r="G91" s="300"/>
      <c r="H91" s="300"/>
      <c r="I91" s="300"/>
      <c r="J91" s="300"/>
      <c r="K91" s="370"/>
      <c r="L91" s="219">
        <f>trial!B82</f>
        <v>198525.92</v>
      </c>
      <c r="M91" s="168">
        <v>91021.440000000002</v>
      </c>
    </row>
    <row r="92" spans="1:13" x14ac:dyDescent="0.25">
      <c r="A92" s="300"/>
      <c r="B92" s="524" t="s">
        <v>449</v>
      </c>
      <c r="C92" s="300"/>
      <c r="D92" s="300"/>
      <c r="E92" s="300"/>
      <c r="F92" s="300"/>
      <c r="G92" s="300"/>
      <c r="H92" s="300"/>
      <c r="I92" s="300"/>
      <c r="J92" s="300"/>
      <c r="K92" s="370"/>
      <c r="L92" s="219">
        <f>trial!B83</f>
        <v>1620320</v>
      </c>
      <c r="M92" s="168">
        <v>950978.44</v>
      </c>
    </row>
    <row r="93" spans="1:13" x14ac:dyDescent="0.25">
      <c r="A93" s="300"/>
      <c r="B93" s="524" t="s">
        <v>773</v>
      </c>
      <c r="C93" s="300"/>
      <c r="D93" s="300"/>
      <c r="E93" s="300"/>
      <c r="F93" s="300"/>
      <c r="G93" s="300"/>
      <c r="H93" s="300"/>
      <c r="I93" s="300"/>
      <c r="J93" s="300"/>
      <c r="K93" s="370"/>
      <c r="L93" s="219">
        <f>trial!B85</f>
        <v>20505</v>
      </c>
      <c r="M93" s="168">
        <v>0</v>
      </c>
    </row>
    <row r="94" spans="1:13" x14ac:dyDescent="0.25">
      <c r="A94" s="300"/>
      <c r="B94" s="379" t="s">
        <v>168</v>
      </c>
      <c r="C94" s="522"/>
      <c r="D94" s="522"/>
      <c r="E94" s="522"/>
      <c r="F94" s="522"/>
      <c r="G94" s="522"/>
      <c r="H94" s="522"/>
      <c r="I94" s="522"/>
      <c r="J94" s="522"/>
      <c r="K94" s="522"/>
      <c r="L94" s="150">
        <f>SUM(L58:L93)</f>
        <v>29982440.673</v>
      </c>
      <c r="M94" s="150">
        <v>4353070.34</v>
      </c>
    </row>
    <row r="95" spans="1:13" x14ac:dyDescent="0.25">
      <c r="A95" s="300"/>
      <c r="B95" s="300"/>
      <c r="C95" s="300"/>
      <c r="D95" s="300"/>
      <c r="E95" s="300"/>
      <c r="F95" s="300"/>
      <c r="G95" s="300"/>
      <c r="H95" s="300"/>
      <c r="I95" s="300"/>
      <c r="J95" s="300"/>
      <c r="K95" s="300"/>
      <c r="L95" s="301"/>
      <c r="M95" s="301"/>
    </row>
  </sheetData>
  <sortState ref="B61:M93">
    <sortCondition ref="B61:B93"/>
  </sortState>
  <mergeCells count="10">
    <mergeCell ref="A1:M1"/>
    <mergeCell ref="A2:M2"/>
    <mergeCell ref="B57:K57"/>
    <mergeCell ref="B6:K6"/>
    <mergeCell ref="B12:K12"/>
    <mergeCell ref="B35:K35"/>
    <mergeCell ref="B47:K47"/>
    <mergeCell ref="B42:K42"/>
    <mergeCell ref="B27:K27"/>
    <mergeCell ref="B43:K43"/>
  </mergeCells>
  <printOptions horizontalCentered="1"/>
  <pageMargins left="0.19685039370078741" right="0.19685039370078741" top="0.19685039370078741" bottom="0.19685039370078741" header="0" footer="0"/>
  <pageSetup paperSize="9" scale="64" fitToHeight="1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93" zoomScaleNormal="93" workbookViewId="0">
      <selection activeCell="K9" sqref="K9"/>
    </sheetView>
  </sheetViews>
  <sheetFormatPr defaultColWidth="14.5546875" defaultRowHeight="13.8" x14ac:dyDescent="0.25"/>
  <cols>
    <col min="1" max="1" width="30.44140625" style="261" bestFit="1" customWidth="1"/>
    <col min="2" max="2" width="17.33203125" style="261" bestFit="1" customWidth="1"/>
    <col min="3" max="3" width="18.5546875" style="261" bestFit="1" customWidth="1"/>
    <col min="4" max="4" width="17.33203125" style="261" bestFit="1" customWidth="1"/>
    <col min="5" max="5" width="18.5546875" style="261" bestFit="1" customWidth="1"/>
    <col min="6" max="6" width="17.33203125" style="261" bestFit="1" customWidth="1"/>
    <col min="7" max="7" width="16.44140625" style="261" customWidth="1"/>
    <col min="8" max="9" width="17.33203125" style="261" bestFit="1" customWidth="1"/>
    <col min="10" max="10" width="14.5546875" style="261"/>
    <col min="11" max="11" width="14.5546875" style="41"/>
    <col min="12" max="16384" width="14.5546875" style="261"/>
  </cols>
  <sheetData>
    <row r="1" spans="1:10" ht="22.8" x14ac:dyDescent="0.25">
      <c r="A1" s="760" t="s">
        <v>270</v>
      </c>
      <c r="B1" s="760"/>
      <c r="C1" s="760"/>
      <c r="D1" s="760"/>
      <c r="E1" s="760"/>
      <c r="F1" s="760"/>
      <c r="G1" s="760"/>
      <c r="H1" s="760"/>
      <c r="I1" s="760"/>
    </row>
    <row r="2" spans="1:10" ht="15" x14ac:dyDescent="0.25">
      <c r="A2" s="761" t="s">
        <v>88</v>
      </c>
      <c r="B2" s="761"/>
      <c r="C2" s="761"/>
      <c r="D2" s="761"/>
      <c r="E2" s="761"/>
      <c r="F2" s="761"/>
      <c r="G2" s="761"/>
      <c r="H2" s="761"/>
      <c r="I2" s="761"/>
    </row>
    <row r="3" spans="1:10" x14ac:dyDescent="0.25">
      <c r="A3" s="300"/>
      <c r="B3" s="300"/>
      <c r="C3" s="300"/>
      <c r="D3" s="300"/>
      <c r="E3" s="300"/>
      <c r="F3" s="301"/>
      <c r="G3" s="301"/>
      <c r="H3" s="300"/>
      <c r="I3" s="300"/>
    </row>
    <row r="4" spans="1:10" x14ac:dyDescent="0.25">
      <c r="A4" s="525" t="s">
        <v>463</v>
      </c>
      <c r="B4" s="300"/>
      <c r="C4" s="300"/>
      <c r="D4" s="306"/>
      <c r="E4" s="300"/>
      <c r="F4" s="300"/>
      <c r="G4" s="300"/>
      <c r="H4" s="300"/>
      <c r="I4" s="300"/>
    </row>
    <row r="5" spans="1:10" x14ac:dyDescent="0.25">
      <c r="A5" s="525" t="s">
        <v>221</v>
      </c>
      <c r="B5" s="300"/>
      <c r="C5" s="300"/>
      <c r="D5" s="306"/>
      <c r="E5" s="300"/>
      <c r="F5" s="300"/>
      <c r="G5" s="300"/>
      <c r="H5" s="300"/>
      <c r="I5" s="300"/>
    </row>
    <row r="6" spans="1:10" ht="14.4" thickBot="1" x14ac:dyDescent="0.3">
      <c r="A6" s="300"/>
      <c r="B6" s="300"/>
      <c r="C6" s="300"/>
      <c r="D6" s="300"/>
      <c r="E6" s="300"/>
      <c r="F6" s="300"/>
      <c r="G6" s="300"/>
      <c r="H6" s="844" t="s">
        <v>545</v>
      </c>
      <c r="I6" s="844"/>
    </row>
    <row r="7" spans="1:10" x14ac:dyDescent="0.25">
      <c r="A7" s="829" t="s">
        <v>0</v>
      </c>
      <c r="B7" s="833" t="s">
        <v>217</v>
      </c>
      <c r="C7" s="842"/>
      <c r="D7" s="843"/>
      <c r="E7" s="832" t="s">
        <v>218</v>
      </c>
      <c r="F7" s="832"/>
      <c r="G7" s="832"/>
      <c r="H7" s="833" t="s">
        <v>219</v>
      </c>
      <c r="I7" s="834"/>
    </row>
    <row r="8" spans="1:10" ht="15" customHeight="1" x14ac:dyDescent="0.25">
      <c r="A8" s="830"/>
      <c r="B8" s="835" t="s">
        <v>807</v>
      </c>
      <c r="C8" s="835" t="s">
        <v>475</v>
      </c>
      <c r="D8" s="835" t="s">
        <v>872</v>
      </c>
      <c r="E8" s="835" t="s">
        <v>808</v>
      </c>
      <c r="F8" s="839" t="s">
        <v>581</v>
      </c>
      <c r="G8" s="835" t="s">
        <v>872</v>
      </c>
      <c r="H8" s="835" t="s">
        <v>872</v>
      </c>
      <c r="I8" s="837" t="s">
        <v>704</v>
      </c>
    </row>
    <row r="9" spans="1:10" ht="20.25" customHeight="1" thickBot="1" x14ac:dyDescent="0.3">
      <c r="A9" s="831"/>
      <c r="B9" s="836"/>
      <c r="C9" s="836"/>
      <c r="D9" s="836"/>
      <c r="E9" s="836"/>
      <c r="F9" s="840"/>
      <c r="G9" s="836"/>
      <c r="H9" s="836"/>
      <c r="I9" s="838"/>
    </row>
    <row r="10" spans="1:10" x14ac:dyDescent="0.25">
      <c r="A10" s="526" t="s">
        <v>220</v>
      </c>
      <c r="B10" s="527"/>
      <c r="C10" s="527"/>
      <c r="D10" s="528"/>
      <c r="E10" s="527"/>
      <c r="F10" s="527"/>
      <c r="G10" s="528"/>
      <c r="H10" s="527"/>
      <c r="I10" s="529"/>
    </row>
    <row r="11" spans="1:10" x14ac:dyDescent="0.25">
      <c r="A11" s="530" t="s">
        <v>431</v>
      </c>
      <c r="B11" s="527"/>
      <c r="C11" s="527"/>
      <c r="D11" s="528"/>
      <c r="E11" s="527"/>
      <c r="F11" s="527"/>
      <c r="G11" s="528"/>
      <c r="H11" s="527"/>
      <c r="I11" s="529"/>
    </row>
    <row r="12" spans="1:10" x14ac:dyDescent="0.25">
      <c r="A12" s="531" t="s">
        <v>429</v>
      </c>
      <c r="B12" s="245">
        <v>964350.4</v>
      </c>
      <c r="C12" s="248">
        <v>447510.61</v>
      </c>
      <c r="D12" s="246">
        <f t="shared" ref="D12:D17" si="0">+B12+C12</f>
        <v>1411861.01</v>
      </c>
      <c r="E12" s="253">
        <v>827636.34934166668</v>
      </c>
      <c r="F12" s="248">
        <f>(D12*95%)/3</f>
        <v>447089.31983333331</v>
      </c>
      <c r="G12" s="246">
        <f t="shared" ref="G12:G17" si="1">+E12+F12</f>
        <v>1274725.6691749999</v>
      </c>
      <c r="H12" s="248">
        <f t="shared" ref="H12:H17" si="2">+D12-G12</f>
        <v>137135.34082500008</v>
      </c>
      <c r="I12" s="250">
        <v>136714.05065833335</v>
      </c>
      <c r="J12" s="532"/>
    </row>
    <row r="13" spans="1:10" x14ac:dyDescent="0.25">
      <c r="A13" s="531" t="s">
        <v>430</v>
      </c>
      <c r="B13" s="245">
        <v>390217.06</v>
      </c>
      <c r="C13" s="248">
        <f>36150</f>
        <v>36150</v>
      </c>
      <c r="D13" s="246">
        <f t="shared" si="0"/>
        <v>426367.06</v>
      </c>
      <c r="E13" s="253">
        <v>295073.83555000002</v>
      </c>
      <c r="F13" s="248">
        <f>(D13*95%)/10</f>
        <v>40504.870699999999</v>
      </c>
      <c r="G13" s="246">
        <f t="shared" si="1"/>
        <v>335578.70625000005</v>
      </c>
      <c r="H13" s="248">
        <f t="shared" si="2"/>
        <v>90788.353749999951</v>
      </c>
      <c r="I13" s="250">
        <v>95143.22444999998</v>
      </c>
      <c r="J13" s="532"/>
    </row>
    <row r="14" spans="1:10" x14ac:dyDescent="0.25">
      <c r="A14" s="531" t="s">
        <v>709</v>
      </c>
      <c r="B14" s="245">
        <v>69761</v>
      </c>
      <c r="C14" s="248">
        <v>860808.54</v>
      </c>
      <c r="D14" s="246">
        <f t="shared" si="0"/>
        <v>930569.54</v>
      </c>
      <c r="E14" s="253">
        <v>6627.2950000000001</v>
      </c>
      <c r="F14" s="248">
        <f>(D14*95%)/10</f>
        <v>88404.106299999999</v>
      </c>
      <c r="G14" s="246">
        <f t="shared" si="1"/>
        <v>95031.401299999998</v>
      </c>
      <c r="H14" s="248">
        <f>D14-G14</f>
        <v>835538.13870000001</v>
      </c>
      <c r="I14" s="250">
        <v>63133.705000000002</v>
      </c>
      <c r="J14" s="532"/>
    </row>
    <row r="15" spans="1:10" x14ac:dyDescent="0.25">
      <c r="A15" s="531" t="s">
        <v>834</v>
      </c>
      <c r="B15" s="245">
        <v>0</v>
      </c>
      <c r="C15" s="248">
        <f>60000</f>
        <v>60000</v>
      </c>
      <c r="D15" s="246">
        <f t="shared" si="0"/>
        <v>60000</v>
      </c>
      <c r="E15" s="247">
        <v>0</v>
      </c>
      <c r="F15" s="248">
        <f>(D15*95%)/10</f>
        <v>5700</v>
      </c>
      <c r="G15" s="246">
        <f t="shared" ref="G15" si="3">+E15+F15</f>
        <v>5700</v>
      </c>
      <c r="H15" s="248">
        <f t="shared" ref="H15" si="4">+D15-G15</f>
        <v>54300</v>
      </c>
      <c r="I15" s="250">
        <v>0</v>
      </c>
      <c r="J15" s="532"/>
    </row>
    <row r="16" spans="1:10" x14ac:dyDescent="0.25">
      <c r="A16" s="526" t="s">
        <v>582</v>
      </c>
      <c r="B16" s="248"/>
      <c r="C16" s="248"/>
      <c r="D16" s="246"/>
      <c r="E16" s="249"/>
      <c r="F16" s="248"/>
      <c r="G16" s="246"/>
      <c r="H16" s="248"/>
      <c r="I16" s="250"/>
      <c r="J16" s="532"/>
    </row>
    <row r="17" spans="1:10" ht="14.4" thickBot="1" x14ac:dyDescent="0.3">
      <c r="A17" s="531" t="s">
        <v>583</v>
      </c>
      <c r="B17" s="248">
        <v>1769350</v>
      </c>
      <c r="C17" s="248">
        <v>354045.58</v>
      </c>
      <c r="D17" s="246">
        <f t="shared" si="0"/>
        <v>2123395.58</v>
      </c>
      <c r="E17" s="246">
        <v>883498.02083333326</v>
      </c>
      <c r="F17" s="248">
        <f t="shared" ref="F17" si="5">(D17*95%)/3</f>
        <v>672408.60033333336</v>
      </c>
      <c r="G17" s="246">
        <f t="shared" si="1"/>
        <v>1555906.6211666665</v>
      </c>
      <c r="H17" s="248">
        <f t="shared" si="2"/>
        <v>567488.95883333357</v>
      </c>
      <c r="I17" s="250">
        <v>885851.97916666674</v>
      </c>
      <c r="J17" s="532"/>
    </row>
    <row r="18" spans="1:10" ht="14.4" thickBot="1" x14ac:dyDescent="0.3">
      <c r="A18" s="533" t="s">
        <v>203</v>
      </c>
      <c r="B18" s="251">
        <f>SUM(B11:B17)</f>
        <v>3193678.46</v>
      </c>
      <c r="C18" s="251">
        <f t="shared" ref="C18:I18" si="6">SUM(C11:C17)</f>
        <v>1758514.73</v>
      </c>
      <c r="D18" s="251">
        <f t="shared" si="6"/>
        <v>4952193.1900000004</v>
      </c>
      <c r="E18" s="251">
        <f t="shared" si="6"/>
        <v>2012835.5007249999</v>
      </c>
      <c r="F18" s="251">
        <f t="shared" si="6"/>
        <v>1254106.8971666666</v>
      </c>
      <c r="G18" s="251">
        <f t="shared" si="6"/>
        <v>3266942.3978916667</v>
      </c>
      <c r="H18" s="251">
        <f>SUM(H11:H17)</f>
        <v>1685250.7921083337</v>
      </c>
      <c r="I18" s="252">
        <f t="shared" si="6"/>
        <v>1180842.959275</v>
      </c>
      <c r="J18" s="534"/>
    </row>
    <row r="19" spans="1:10" ht="14.4" thickBot="1" x14ac:dyDescent="0.3">
      <c r="A19" s="533" t="s">
        <v>806</v>
      </c>
      <c r="B19" s="535">
        <v>2639566.04</v>
      </c>
      <c r="C19" s="535">
        <v>863615.42</v>
      </c>
      <c r="D19" s="536">
        <v>3503181.46</v>
      </c>
      <c r="E19" s="535">
        <v>1619961.4193666666</v>
      </c>
      <c r="F19" s="535">
        <v>702377.08135833335</v>
      </c>
      <c r="G19" s="537">
        <v>2322338.5007250002</v>
      </c>
      <c r="H19" s="535">
        <v>1180842.959275</v>
      </c>
      <c r="I19" s="538">
        <v>1019604.6206333335</v>
      </c>
      <c r="J19" s="534"/>
    </row>
    <row r="20" spans="1:10" x14ac:dyDescent="0.25">
      <c r="A20" s="300"/>
      <c r="B20" s="300"/>
      <c r="C20" s="300"/>
      <c r="D20" s="300"/>
      <c r="E20" s="539"/>
      <c r="F20" s="539"/>
      <c r="G20" s="300"/>
      <c r="H20" s="300"/>
      <c r="I20" s="300"/>
    </row>
    <row r="21" spans="1:10" x14ac:dyDescent="0.25">
      <c r="A21" s="300" t="s">
        <v>408</v>
      </c>
      <c r="B21" s="300"/>
      <c r="C21" s="300"/>
      <c r="D21" s="300"/>
      <c r="E21" s="300"/>
      <c r="F21" s="300"/>
      <c r="G21" s="300"/>
      <c r="H21" s="300"/>
      <c r="I21" s="300"/>
      <c r="J21" s="534"/>
    </row>
    <row r="22" spans="1:10" ht="29.25" customHeight="1" x14ac:dyDescent="0.25">
      <c r="A22" s="841" t="s">
        <v>445</v>
      </c>
      <c r="B22" s="841"/>
      <c r="C22" s="841"/>
      <c r="D22" s="841"/>
      <c r="E22" s="841"/>
      <c r="F22" s="841"/>
      <c r="G22" s="841"/>
      <c r="H22" s="841"/>
      <c r="I22" s="841"/>
      <c r="J22" s="534"/>
    </row>
    <row r="23" spans="1:10" ht="32.25" customHeight="1" x14ac:dyDescent="0.25">
      <c r="A23" s="841" t="s">
        <v>544</v>
      </c>
      <c r="B23" s="841"/>
      <c r="C23" s="841"/>
      <c r="D23" s="841"/>
      <c r="E23" s="841"/>
      <c r="F23" s="841"/>
      <c r="G23" s="841"/>
      <c r="H23" s="841"/>
      <c r="I23" s="841"/>
      <c r="J23" s="534"/>
    </row>
    <row r="24" spans="1:10" x14ac:dyDescent="0.25">
      <c r="A24" s="300"/>
      <c r="B24" s="300"/>
      <c r="C24" s="300"/>
      <c r="D24" s="300"/>
      <c r="E24" s="300"/>
      <c r="F24" s="300"/>
      <c r="G24" s="300"/>
      <c r="H24" s="300"/>
      <c r="I24" s="300"/>
    </row>
    <row r="25" spans="1:10" x14ac:dyDescent="0.25">
      <c r="A25" s="300"/>
      <c r="B25" s="300"/>
      <c r="C25" s="300"/>
      <c r="D25" s="300"/>
      <c r="E25" s="300"/>
      <c r="F25" s="300"/>
      <c r="G25" s="300"/>
      <c r="H25" s="300"/>
      <c r="I25" s="300"/>
    </row>
    <row r="26" spans="1:10" x14ac:dyDescent="0.25">
      <c r="A26" s="300"/>
      <c r="B26" s="300"/>
      <c r="C26" s="300"/>
      <c r="D26" s="300"/>
      <c r="E26" s="300"/>
      <c r="F26" s="300"/>
      <c r="G26" s="300"/>
      <c r="H26" s="300"/>
      <c r="I26" s="300"/>
    </row>
    <row r="27" spans="1:10" x14ac:dyDescent="0.25">
      <c r="A27" s="300"/>
      <c r="B27" s="300"/>
      <c r="C27" s="300"/>
      <c r="D27" s="300"/>
      <c r="E27" s="300"/>
      <c r="F27" s="300"/>
      <c r="G27" s="300"/>
      <c r="H27" s="300"/>
      <c r="I27" s="300"/>
    </row>
  </sheetData>
  <mergeCells count="17">
    <mergeCell ref="A22:I22"/>
    <mergeCell ref="A23:I23"/>
    <mergeCell ref="B7:D7"/>
    <mergeCell ref="H6:I6"/>
    <mergeCell ref="A1:I1"/>
    <mergeCell ref="A2:I2"/>
    <mergeCell ref="A7:A9"/>
    <mergeCell ref="E7:G7"/>
    <mergeCell ref="H7:I7"/>
    <mergeCell ref="B8:B9"/>
    <mergeCell ref="C8:C9"/>
    <mergeCell ref="G8:G9"/>
    <mergeCell ref="H8:H9"/>
    <mergeCell ref="I8:I9"/>
    <mergeCell ref="F8:F9"/>
    <mergeCell ref="D8:D9"/>
    <mergeCell ref="E8:E9"/>
  </mergeCells>
  <printOptions horizontalCentered="1"/>
  <pageMargins left="0.19685039370078741" right="0.19685039370078741" top="0.19685039370078741" bottom="0.19685039370078741" header="0" footer="0"/>
  <pageSetup paperSize="9" orientation="landscape" r:id="rId1"/>
  <ignoredErrors>
    <ignoredError sqref="H1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Normal="100" workbookViewId="0">
      <selection activeCell="K7" sqref="K7"/>
    </sheetView>
  </sheetViews>
  <sheetFormatPr defaultColWidth="14.5546875" defaultRowHeight="13.8" x14ac:dyDescent="0.25"/>
  <cols>
    <col min="1" max="1" width="30.44140625" style="261" bestFit="1" customWidth="1"/>
    <col min="2" max="5" width="14.5546875" style="261"/>
    <col min="6" max="6" width="15.44140625" style="261" bestFit="1" customWidth="1"/>
    <col min="7" max="11" width="14.5546875" style="261"/>
    <col min="12" max="12" width="16.33203125" style="261" bestFit="1" customWidth="1"/>
    <col min="13" max="16384" width="14.5546875" style="261"/>
  </cols>
  <sheetData>
    <row r="1" spans="1:12" ht="22.8" x14ac:dyDescent="0.25">
      <c r="A1" s="760" t="s">
        <v>270</v>
      </c>
      <c r="B1" s="760"/>
      <c r="C1" s="760"/>
      <c r="D1" s="760"/>
      <c r="E1" s="760"/>
      <c r="F1" s="760"/>
      <c r="G1" s="760"/>
      <c r="H1" s="760"/>
      <c r="I1" s="760"/>
      <c r="J1" s="760"/>
    </row>
    <row r="2" spans="1:12" ht="15" x14ac:dyDescent="0.25">
      <c r="A2" s="761" t="s">
        <v>88</v>
      </c>
      <c r="B2" s="761"/>
      <c r="C2" s="761"/>
      <c r="D2" s="761"/>
      <c r="E2" s="761"/>
      <c r="F2" s="761"/>
      <c r="G2" s="761"/>
      <c r="H2" s="761"/>
      <c r="I2" s="761"/>
      <c r="J2" s="761"/>
    </row>
    <row r="3" spans="1:12" x14ac:dyDescent="0.25">
      <c r="A3" s="300"/>
      <c r="B3" s="300"/>
      <c r="C3" s="300"/>
      <c r="D3" s="300"/>
      <c r="E3" s="300"/>
      <c r="F3" s="300"/>
      <c r="G3" s="301"/>
      <c r="H3" s="301"/>
      <c r="I3" s="300"/>
      <c r="J3" s="300"/>
    </row>
    <row r="4" spans="1:12" x14ac:dyDescent="0.25">
      <c r="A4" s="525" t="s">
        <v>463</v>
      </c>
      <c r="B4" s="300"/>
      <c r="C4" s="300"/>
      <c r="D4" s="300"/>
      <c r="E4" s="306"/>
      <c r="F4" s="300"/>
      <c r="G4" s="300"/>
      <c r="H4" s="300"/>
      <c r="I4" s="300"/>
      <c r="J4" s="300"/>
    </row>
    <row r="5" spans="1:12" x14ac:dyDescent="0.25">
      <c r="A5" s="525" t="s">
        <v>221</v>
      </c>
      <c r="B5" s="300"/>
      <c r="C5" s="300"/>
      <c r="D5" s="300"/>
      <c r="E5" s="306"/>
      <c r="F5" s="300"/>
      <c r="G5" s="300"/>
      <c r="H5" s="300"/>
      <c r="I5" s="300"/>
      <c r="J5" s="300"/>
    </row>
    <row r="6" spans="1:12" ht="14.4" thickBot="1" x14ac:dyDescent="0.3">
      <c r="A6" s="300"/>
      <c r="B6" s="300"/>
      <c r="C6" s="300"/>
      <c r="D6" s="300"/>
      <c r="E6" s="300"/>
      <c r="F6" s="300"/>
      <c r="G6" s="300"/>
      <c r="H6" s="300"/>
      <c r="I6" s="844" t="s">
        <v>545</v>
      </c>
      <c r="J6" s="844"/>
    </row>
    <row r="7" spans="1:12" x14ac:dyDescent="0.25">
      <c r="A7" s="829" t="s">
        <v>0</v>
      </c>
      <c r="B7" s="833" t="s">
        <v>217</v>
      </c>
      <c r="C7" s="842"/>
      <c r="D7" s="842"/>
      <c r="E7" s="843"/>
      <c r="F7" s="832" t="s">
        <v>218</v>
      </c>
      <c r="G7" s="832"/>
      <c r="H7" s="832"/>
      <c r="I7" s="833" t="s">
        <v>219</v>
      </c>
      <c r="J7" s="834"/>
    </row>
    <row r="8" spans="1:12" ht="15" customHeight="1" x14ac:dyDescent="0.25">
      <c r="A8" s="830"/>
      <c r="B8" s="835" t="s">
        <v>807</v>
      </c>
      <c r="C8" s="835" t="s">
        <v>584</v>
      </c>
      <c r="D8" s="835" t="s">
        <v>585</v>
      </c>
      <c r="E8" s="835" t="s">
        <v>872</v>
      </c>
      <c r="F8" s="835" t="s">
        <v>807</v>
      </c>
      <c r="G8" s="835" t="s">
        <v>218</v>
      </c>
      <c r="H8" s="835" t="str">
        <f>E8</f>
        <v>As at 31.03.2025</v>
      </c>
      <c r="I8" s="835" t="str">
        <f>H8</f>
        <v>As at 31.03.2025</v>
      </c>
      <c r="J8" s="837" t="s">
        <v>704</v>
      </c>
    </row>
    <row r="9" spans="1:12" ht="20.25" customHeight="1" thickBot="1" x14ac:dyDescent="0.3">
      <c r="A9" s="831"/>
      <c r="B9" s="836"/>
      <c r="C9" s="836"/>
      <c r="D9" s="836"/>
      <c r="E9" s="836"/>
      <c r="F9" s="836"/>
      <c r="G9" s="836"/>
      <c r="H9" s="836"/>
      <c r="I9" s="836"/>
      <c r="J9" s="838"/>
    </row>
    <row r="10" spans="1:12" x14ac:dyDescent="0.25">
      <c r="A10" s="526" t="s">
        <v>220</v>
      </c>
      <c r="B10" s="540"/>
      <c r="C10" s="540"/>
      <c r="D10" s="370"/>
      <c r="E10" s="370"/>
      <c r="F10" s="540"/>
      <c r="G10" s="540"/>
      <c r="H10" s="370"/>
      <c r="I10" s="540"/>
      <c r="J10" s="541"/>
    </row>
    <row r="11" spans="1:12" x14ac:dyDescent="0.25">
      <c r="A11" s="530" t="s">
        <v>431</v>
      </c>
      <c r="B11" s="540"/>
      <c r="C11" s="540"/>
      <c r="D11" s="370"/>
      <c r="E11" s="370"/>
      <c r="F11" s="540"/>
      <c r="G11" s="540"/>
      <c r="H11" s="370"/>
      <c r="I11" s="540"/>
      <c r="J11" s="542"/>
    </row>
    <row r="12" spans="1:12" ht="13.5" customHeight="1" x14ac:dyDescent="0.25">
      <c r="A12" s="531" t="s">
        <v>428</v>
      </c>
      <c r="B12" s="220">
        <v>0</v>
      </c>
      <c r="C12" s="116"/>
      <c r="D12" s="116">
        <v>0</v>
      </c>
      <c r="E12" s="113">
        <f>+B12+C12</f>
        <v>0</v>
      </c>
      <c r="F12" s="221">
        <v>0</v>
      </c>
      <c r="G12" s="116">
        <v>0</v>
      </c>
      <c r="H12" s="113">
        <f>+F12+G12</f>
        <v>0</v>
      </c>
      <c r="I12" s="116">
        <f>+E12-H12</f>
        <v>0</v>
      </c>
      <c r="J12" s="222">
        <v>0</v>
      </c>
    </row>
    <row r="13" spans="1:12" x14ac:dyDescent="0.25">
      <c r="A13" s="531" t="s">
        <v>429</v>
      </c>
      <c r="B13" s="220">
        <v>362759.42</v>
      </c>
      <c r="C13" s="116">
        <f>150788.39+20340</f>
        <v>171128.39</v>
      </c>
      <c r="D13" s="116">
        <f>201590.66+74791.56</f>
        <v>276382.21999999997</v>
      </c>
      <c r="E13" s="113">
        <f>+B13+C13+D13</f>
        <v>810270.03</v>
      </c>
      <c r="F13" s="254">
        <v>227304.9632</v>
      </c>
      <c r="G13" s="256">
        <f>((J13*40%+C13*40%)+(D13*40%/2))</f>
        <v>177909.58272000001</v>
      </c>
      <c r="H13" s="113">
        <f t="shared" ref="H13:H22" si="0">+F13+G13</f>
        <v>405214.54592</v>
      </c>
      <c r="I13" s="116">
        <f>E13-H13</f>
        <v>405055.48408000002</v>
      </c>
      <c r="J13" s="222">
        <v>135454.45679999999</v>
      </c>
      <c r="K13" s="304"/>
      <c r="L13" s="532"/>
    </row>
    <row r="14" spans="1:12" x14ac:dyDescent="0.25">
      <c r="A14" s="531" t="s">
        <v>433</v>
      </c>
      <c r="B14" s="220">
        <v>0</v>
      </c>
      <c r="C14" s="116"/>
      <c r="D14" s="116">
        <v>0</v>
      </c>
      <c r="E14" s="113">
        <f t="shared" ref="E14:E22" si="1">+B14+C14+D14</f>
        <v>0</v>
      </c>
      <c r="F14" s="254"/>
      <c r="G14" s="256">
        <v>0</v>
      </c>
      <c r="H14" s="113"/>
      <c r="I14" s="116"/>
      <c r="J14" s="222">
        <v>0</v>
      </c>
      <c r="L14" s="532"/>
    </row>
    <row r="15" spans="1:12" x14ac:dyDescent="0.25">
      <c r="A15" s="531" t="s">
        <v>709</v>
      </c>
      <c r="B15" s="220">
        <v>69761</v>
      </c>
      <c r="C15" s="116">
        <f>81863+31553</f>
        <v>113416</v>
      </c>
      <c r="D15" s="116">
        <f>38352+709040.54</f>
        <v>747392.54</v>
      </c>
      <c r="E15" s="113">
        <f t="shared" si="1"/>
        <v>930569.54</v>
      </c>
      <c r="F15" s="254">
        <v>6976.1</v>
      </c>
      <c r="G15" s="256">
        <f>(E15*10%)+(D15*10%*1/2)</f>
        <v>130426.58100000001</v>
      </c>
      <c r="H15" s="113">
        <f t="shared" si="0"/>
        <v>137402.68100000001</v>
      </c>
      <c r="I15" s="116">
        <f>E15-H15</f>
        <v>793166.85900000005</v>
      </c>
      <c r="J15" s="222">
        <v>62784.9</v>
      </c>
      <c r="K15" s="304"/>
      <c r="L15" s="277"/>
    </row>
    <row r="16" spans="1:12" x14ac:dyDescent="0.25">
      <c r="A16" s="531" t="s">
        <v>430</v>
      </c>
      <c r="B16" s="220">
        <v>116166</v>
      </c>
      <c r="C16" s="300">
        <v>1150</v>
      </c>
      <c r="D16" s="116">
        <f>35000</f>
        <v>35000</v>
      </c>
      <c r="E16" s="113">
        <f t="shared" si="1"/>
        <v>152316</v>
      </c>
      <c r="F16" s="254">
        <v>22071.945400000001</v>
      </c>
      <c r="G16" s="256">
        <f>((J16+C16)*10%)</f>
        <v>9524.4054599999999</v>
      </c>
      <c r="H16" s="113">
        <f t="shared" si="0"/>
        <v>31596.350859999999</v>
      </c>
      <c r="I16" s="116">
        <f t="shared" ref="I16:I22" si="2">+E16-H16</f>
        <v>120719.64913999999</v>
      </c>
      <c r="J16" s="222">
        <v>94094.054600000003</v>
      </c>
      <c r="K16" s="304"/>
      <c r="L16" s="532"/>
    </row>
    <row r="17" spans="1:12" x14ac:dyDescent="0.25">
      <c r="A17" s="531" t="s">
        <v>834</v>
      </c>
      <c r="B17" s="220">
        <v>0</v>
      </c>
      <c r="C17" s="543">
        <v>0</v>
      </c>
      <c r="D17" s="116">
        <f>60000</f>
        <v>60000</v>
      </c>
      <c r="E17" s="113">
        <f t="shared" si="1"/>
        <v>60000</v>
      </c>
      <c r="F17" s="254">
        <v>0</v>
      </c>
      <c r="G17" s="256">
        <f>(E17*10/100)</f>
        <v>6000</v>
      </c>
      <c r="H17" s="113">
        <f t="shared" si="0"/>
        <v>6000</v>
      </c>
      <c r="I17" s="116">
        <f t="shared" si="2"/>
        <v>54000</v>
      </c>
      <c r="J17" s="222">
        <v>0</v>
      </c>
      <c r="K17" s="304"/>
      <c r="L17" s="532"/>
    </row>
    <row r="18" spans="1:12" x14ac:dyDescent="0.25">
      <c r="A18" s="531" t="s">
        <v>434</v>
      </c>
      <c r="B18" s="220">
        <v>0</v>
      </c>
      <c r="C18" s="116">
        <v>0</v>
      </c>
      <c r="D18" s="116">
        <v>0</v>
      </c>
      <c r="E18" s="113">
        <f t="shared" si="1"/>
        <v>0</v>
      </c>
      <c r="F18" s="254">
        <v>0</v>
      </c>
      <c r="G18" s="256">
        <v>0</v>
      </c>
      <c r="H18" s="113">
        <f t="shared" si="0"/>
        <v>0</v>
      </c>
      <c r="I18" s="116">
        <f t="shared" si="2"/>
        <v>0</v>
      </c>
      <c r="J18" s="222">
        <v>0</v>
      </c>
      <c r="K18" s="304"/>
    </row>
    <row r="19" spans="1:12" x14ac:dyDescent="0.25">
      <c r="A19" s="531" t="s">
        <v>432</v>
      </c>
      <c r="B19" s="220">
        <v>0</v>
      </c>
      <c r="C19" s="116">
        <v>0</v>
      </c>
      <c r="D19" s="116">
        <v>0</v>
      </c>
      <c r="E19" s="113">
        <f t="shared" si="1"/>
        <v>0</v>
      </c>
      <c r="F19" s="254">
        <v>0</v>
      </c>
      <c r="G19" s="256">
        <v>0</v>
      </c>
      <c r="H19" s="113">
        <f t="shared" si="0"/>
        <v>0</v>
      </c>
      <c r="I19" s="116">
        <f t="shared" si="2"/>
        <v>0</v>
      </c>
      <c r="J19" s="222">
        <v>0</v>
      </c>
      <c r="L19" s="532"/>
    </row>
    <row r="20" spans="1:12" x14ac:dyDescent="0.25">
      <c r="A20" s="531" t="s">
        <v>431</v>
      </c>
      <c r="B20" s="220">
        <v>0</v>
      </c>
      <c r="C20" s="116">
        <v>0</v>
      </c>
      <c r="D20" s="116">
        <v>0</v>
      </c>
      <c r="E20" s="113">
        <f t="shared" si="1"/>
        <v>0</v>
      </c>
      <c r="F20" s="254">
        <v>0</v>
      </c>
      <c r="G20" s="256">
        <v>0</v>
      </c>
      <c r="H20" s="113">
        <f t="shared" si="0"/>
        <v>0</v>
      </c>
      <c r="I20" s="116">
        <f t="shared" si="2"/>
        <v>0</v>
      </c>
      <c r="J20" s="222">
        <v>0</v>
      </c>
      <c r="L20" s="532"/>
    </row>
    <row r="21" spans="1:12" x14ac:dyDescent="0.25">
      <c r="A21" s="526" t="s">
        <v>582</v>
      </c>
      <c r="B21" s="116">
        <v>0</v>
      </c>
      <c r="C21" s="116">
        <v>0</v>
      </c>
      <c r="D21" s="116">
        <v>0</v>
      </c>
      <c r="E21" s="113">
        <f t="shared" si="1"/>
        <v>0</v>
      </c>
      <c r="F21" s="255">
        <v>0</v>
      </c>
      <c r="G21" s="256"/>
      <c r="H21" s="113">
        <f t="shared" si="0"/>
        <v>0</v>
      </c>
      <c r="I21" s="116">
        <f t="shared" si="2"/>
        <v>0</v>
      </c>
      <c r="J21" s="222">
        <v>0</v>
      </c>
    </row>
    <row r="22" spans="1:12" ht="14.4" thickBot="1" x14ac:dyDescent="0.3">
      <c r="A22" s="531" t="s">
        <v>583</v>
      </c>
      <c r="B22" s="116">
        <v>1769350</v>
      </c>
      <c r="C22" s="116">
        <f>15822+24868</f>
        <v>40690</v>
      </c>
      <c r="D22" s="116">
        <f>4000+309355.58</f>
        <v>313355.58</v>
      </c>
      <c r="E22" s="113">
        <f t="shared" si="1"/>
        <v>2123395.58</v>
      </c>
      <c r="F22" s="255">
        <v>629041.125</v>
      </c>
      <c r="G22" s="256">
        <f>((J22*25%+C22*25%)+(D22*25%/2))</f>
        <v>334419.16625000001</v>
      </c>
      <c r="H22" s="113">
        <f t="shared" si="0"/>
        <v>963460.29125000001</v>
      </c>
      <c r="I22" s="116">
        <f t="shared" si="2"/>
        <v>1159935.2887500001</v>
      </c>
      <c r="J22" s="222">
        <v>1140308.875</v>
      </c>
      <c r="K22" s="304"/>
    </row>
    <row r="23" spans="1:12" ht="14.4" thickBot="1" x14ac:dyDescent="0.3">
      <c r="A23" s="533" t="s">
        <v>203</v>
      </c>
      <c r="B23" s="544">
        <f>SUM(B10:B22)</f>
        <v>2318036.42</v>
      </c>
      <c r="C23" s="544">
        <f t="shared" ref="C23:J23" si="3">SUM(C10:C22)</f>
        <v>326384.39</v>
      </c>
      <c r="D23" s="544">
        <f t="shared" si="3"/>
        <v>1432130.34</v>
      </c>
      <c r="E23" s="544">
        <f t="shared" si="3"/>
        <v>4076551.1500000004</v>
      </c>
      <c r="F23" s="544">
        <f t="shared" si="3"/>
        <v>885394.13360000006</v>
      </c>
      <c r="G23" s="544">
        <f t="shared" si="3"/>
        <v>658279.73543</v>
      </c>
      <c r="H23" s="544">
        <f t="shared" si="3"/>
        <v>1543673.8690300002</v>
      </c>
      <c r="I23" s="544">
        <f t="shared" si="3"/>
        <v>2532877.2809699997</v>
      </c>
      <c r="J23" s="545">
        <f t="shared" si="3"/>
        <v>1432642.2864000001</v>
      </c>
      <c r="K23" s="277"/>
    </row>
    <row r="24" spans="1:12" ht="14.4" thickBot="1" x14ac:dyDescent="0.3">
      <c r="A24" s="533" t="s">
        <v>806</v>
      </c>
      <c r="B24" s="546">
        <v>1454421</v>
      </c>
      <c r="C24" s="546">
        <v>863615.42</v>
      </c>
      <c r="D24" s="547">
        <v>0</v>
      </c>
      <c r="E24" s="547">
        <v>2318036.42</v>
      </c>
      <c r="F24" s="546">
        <v>148619</v>
      </c>
      <c r="G24" s="546">
        <v>487837.1336</v>
      </c>
      <c r="H24" s="548">
        <v>885394.13360000006</v>
      </c>
      <c r="I24" s="546">
        <v>1432642.2864000001</v>
      </c>
      <c r="J24" s="549">
        <v>1056864.942</v>
      </c>
    </row>
    <row r="25" spans="1:12" x14ac:dyDescent="0.25">
      <c r="A25" s="300"/>
      <c r="B25" s="300"/>
      <c r="C25" s="300"/>
      <c r="D25" s="300"/>
      <c r="E25" s="300"/>
      <c r="F25" s="539"/>
      <c r="G25" s="539"/>
      <c r="H25" s="300"/>
      <c r="I25" s="300"/>
      <c r="J25" s="300"/>
    </row>
    <row r="26" spans="1:12" x14ac:dyDescent="0.25">
      <c r="A26" s="300" t="s">
        <v>408</v>
      </c>
      <c r="B26" s="300"/>
      <c r="C26" s="300"/>
      <c r="D26" s="300"/>
      <c r="E26" s="301"/>
      <c r="F26" s="300"/>
      <c r="G26" s="300"/>
      <c r="H26" s="300"/>
      <c r="I26" s="300"/>
      <c r="J26" s="300"/>
      <c r="K26" s="534"/>
    </row>
    <row r="27" spans="1:12" ht="29.25" customHeight="1" x14ac:dyDescent="0.25">
      <c r="A27" s="841" t="s">
        <v>445</v>
      </c>
      <c r="B27" s="841"/>
      <c r="C27" s="841"/>
      <c r="D27" s="841"/>
      <c r="E27" s="841"/>
      <c r="F27" s="841"/>
      <c r="G27" s="841"/>
      <c r="H27" s="841"/>
      <c r="I27" s="841"/>
      <c r="J27" s="841"/>
      <c r="K27" s="534"/>
    </row>
    <row r="28" spans="1:12" ht="32.25" customHeight="1" x14ac:dyDescent="0.25">
      <c r="A28" s="841" t="s">
        <v>544</v>
      </c>
      <c r="B28" s="841"/>
      <c r="C28" s="841"/>
      <c r="D28" s="841"/>
      <c r="E28" s="841"/>
      <c r="F28" s="841"/>
      <c r="G28" s="841"/>
      <c r="H28" s="841"/>
      <c r="I28" s="841"/>
      <c r="J28" s="841"/>
      <c r="K28" s="534"/>
    </row>
    <row r="29" spans="1:12" x14ac:dyDescent="0.25">
      <c r="A29" s="300"/>
      <c r="B29" s="300"/>
      <c r="C29" s="300"/>
      <c r="D29" s="300"/>
      <c r="E29" s="300"/>
      <c r="F29" s="300"/>
      <c r="G29" s="300"/>
      <c r="H29" s="300"/>
      <c r="I29" s="300"/>
      <c r="J29" s="300"/>
    </row>
  </sheetData>
  <mergeCells count="18">
    <mergeCell ref="A1:J1"/>
    <mergeCell ref="A2:J2"/>
    <mergeCell ref="I6:J6"/>
    <mergeCell ref="A7:A9"/>
    <mergeCell ref="B7:E7"/>
    <mergeCell ref="F7:H7"/>
    <mergeCell ref="I7:J7"/>
    <mergeCell ref="B8:B9"/>
    <mergeCell ref="C8:C9"/>
    <mergeCell ref="E8:E9"/>
    <mergeCell ref="A28:J28"/>
    <mergeCell ref="D8:D9"/>
    <mergeCell ref="F8:F9"/>
    <mergeCell ref="G8:G9"/>
    <mergeCell ref="H8:H9"/>
    <mergeCell ref="I8:I9"/>
    <mergeCell ref="J8:J9"/>
    <mergeCell ref="A27:J27"/>
  </mergeCells>
  <pageMargins left="0.7" right="0.7" top="0.75" bottom="0.75" header="0.3" footer="0.3"/>
  <ignoredErrors>
    <ignoredError sqref="I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12</vt:i4>
      </vt:variant>
    </vt:vector>
  </HeadingPairs>
  <TitlesOfParts>
    <vt:vector size="31" baseType="lpstr">
      <vt:lpstr>BS</vt:lpstr>
      <vt:lpstr>PorL</vt:lpstr>
      <vt:lpstr>CashFlow</vt:lpstr>
      <vt:lpstr>SOCIE</vt:lpstr>
      <vt:lpstr>Ac policy</vt:lpstr>
      <vt:lpstr>bs Notes</vt:lpstr>
      <vt:lpstr>pl notes</vt:lpstr>
      <vt:lpstr>fa note</vt:lpstr>
      <vt:lpstr>Income Tax Fixed Asset</vt:lpstr>
      <vt:lpstr>ratios</vt:lpstr>
      <vt:lpstr>Addl Disclosure schd III</vt:lpstr>
      <vt:lpstr>Note21</vt:lpstr>
      <vt:lpstr>RBINotes</vt:lpstr>
      <vt:lpstr>RATIO</vt:lpstr>
      <vt:lpstr>provision </vt:lpstr>
      <vt:lpstr>trial</vt:lpstr>
      <vt:lpstr>query</vt:lpstr>
      <vt:lpstr>loan bifercation</vt:lpstr>
      <vt:lpstr>proviosion</vt:lpstr>
      <vt:lpstr>BS!Print_Area</vt:lpstr>
      <vt:lpstr>'bs Notes'!Print_Area</vt:lpstr>
      <vt:lpstr>CashFlow!Print_Area</vt:lpstr>
      <vt:lpstr>'fa note'!Print_Area</vt:lpstr>
      <vt:lpstr>Note21!Print_Area</vt:lpstr>
      <vt:lpstr>'pl notes'!Print_Area</vt:lpstr>
      <vt:lpstr>PorL!Print_Area</vt:lpstr>
      <vt:lpstr>RBINotes!Print_Area</vt:lpstr>
      <vt:lpstr>SOCIE!Print_Area</vt:lpstr>
      <vt:lpstr>'Ac policy'!Print_Titles</vt:lpstr>
      <vt:lpstr>'bs Notes'!Print_Titles</vt:lpstr>
      <vt:lpstr>'pl 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2026-04-30T04:54:53Z</dcterms:modified>
</cp:coreProperties>
</file>